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AMANS_PETITJEAN\LBC\Documents LBC\"/>
    </mc:Choice>
  </mc:AlternateContent>
  <xr:revisionPtr revIDLastSave="0" documentId="8_{D5DABCD9-2C12-4BFB-A878-70DF0C726812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1">'Données projet'!$A$1:$S$289</definedName>
    <definedName name="_xlnm.Print_Area" localSheetId="5">REE!$A$1:$L$93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7" i="1" l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89" i="1"/>
  <c r="D96" i="1"/>
  <c r="B96" i="1"/>
  <c r="B95" i="1"/>
  <c r="B94" i="1"/>
  <c r="B93" i="1"/>
  <c r="B92" i="1"/>
  <c r="B91" i="1"/>
  <c r="B90" i="1"/>
  <c r="B64" i="1"/>
  <c r="B71" i="1"/>
  <c r="B70" i="1"/>
  <c r="B69" i="1"/>
  <c r="B68" i="1"/>
  <c r="B67" i="1"/>
  <c r="B66" i="1"/>
  <c r="B65" i="1"/>
  <c r="D71" i="1"/>
  <c r="B45" i="1"/>
  <c r="D45" i="1" s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B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DH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C82" i="2" a="1"/>
  <c r="BC82" i="2" s="1"/>
  <c r="BC38" i="2" a="1"/>
  <c r="BC38" i="2" s="1"/>
  <c r="BC31" i="2" a="1"/>
  <c r="BC31" i="2" s="1"/>
  <c r="BC18" i="2" a="1"/>
  <c r="BC18" i="2" s="1"/>
  <c r="BC84" i="2" a="1"/>
  <c r="BC84" i="2" s="1"/>
  <c r="BC47" i="2" a="1"/>
  <c r="BC47" i="2" s="1"/>
  <c r="BC32" i="2" a="1"/>
  <c r="BC32" i="2" s="1"/>
  <c r="BC68" i="2" a="1"/>
  <c r="BC68" i="2" s="1"/>
  <c r="BC83" i="2" a="1"/>
  <c r="BC83" i="2" s="1"/>
  <c r="BC164" i="2" a="1"/>
  <c r="BC164" i="2" s="1"/>
  <c r="BC58" i="2" a="1"/>
  <c r="BC58" i="2" s="1"/>
  <c r="BC151" i="2" a="1"/>
  <c r="BC151" i="2" s="1"/>
  <c r="BC192" i="2" a="1"/>
  <c r="BC192" i="2" s="1"/>
  <c r="BC117" i="2" a="1"/>
  <c r="BC117" i="2" s="1"/>
  <c r="BC34" i="2" a="1"/>
  <c r="BC34" i="2" s="1"/>
  <c r="BC7" i="2" a="1"/>
  <c r="BC7" i="2" s="1"/>
  <c r="BC55" i="2" a="1"/>
  <c r="BC55" i="2" s="1"/>
  <c r="BC181" i="2" a="1"/>
  <c r="BC181" i="2" s="1"/>
  <c r="BC130" i="2" a="1"/>
  <c r="BC130" i="2" s="1"/>
  <c r="BC65" i="2" a="1"/>
  <c r="BC65" i="2" s="1"/>
  <c r="BC185" i="2" a="1"/>
  <c r="BC185" i="2" s="1"/>
  <c r="BC143" i="2" a="1"/>
  <c r="BC143" i="2" s="1"/>
  <c r="BC126" i="2" a="1"/>
  <c r="BC126" i="2" s="1"/>
  <c r="BC114" i="2" a="1"/>
  <c r="BC114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24" i="2" l="1"/>
  <c r="CD43" i="2"/>
  <c r="CD60" i="2"/>
  <c r="CD88" i="2"/>
  <c r="CD156" i="2"/>
  <c r="CD87" i="2"/>
  <c r="CD203" i="2"/>
  <c r="CD131" i="2"/>
  <c r="CD196" i="2"/>
  <c r="CD28" i="2"/>
  <c r="CD194" i="2"/>
  <c r="CD115" i="2"/>
  <c r="CD69" i="2"/>
  <c r="CD129" i="2"/>
  <c r="CD3" i="2"/>
  <c r="C9" i="4" s="1"/>
  <c r="E9" i="4" s="1"/>
  <c r="F9" i="4" s="1"/>
  <c r="G9" i="4" s="1"/>
  <c r="L9" i="4" s="1"/>
  <c r="CD91" i="2"/>
  <c r="CD17" i="2"/>
  <c r="CD7" i="2"/>
  <c r="CD186" i="2"/>
  <c r="CD155" i="2"/>
  <c r="CD125" i="2"/>
  <c r="CD159" i="2"/>
  <c r="CD124" i="2"/>
  <c r="CD37" i="2"/>
  <c r="CD122" i="2"/>
  <c r="CD162" i="2"/>
  <c r="CD167" i="2"/>
  <c r="CD67" i="2"/>
  <c r="CD27" i="2"/>
  <c r="CD112" i="2"/>
  <c r="CD5" i="2"/>
  <c r="CD66" i="2"/>
  <c r="CD80" i="2"/>
  <c r="CD76" i="2"/>
  <c r="CD56" i="2"/>
  <c r="CD48" i="2"/>
  <c r="CD13" i="2"/>
  <c r="CD45" i="2"/>
  <c r="CD94" i="2"/>
  <c r="CD33" i="2"/>
  <c r="CD86" i="2"/>
  <c r="CD47" i="2"/>
  <c r="CD152" i="2"/>
  <c r="CD99" i="2"/>
  <c r="CD199" i="2"/>
  <c r="CD138" i="2"/>
  <c r="CD101" i="2"/>
  <c r="CD182" i="2"/>
  <c r="CD171" i="2"/>
  <c r="CD163" i="2"/>
  <c r="CD84" i="2"/>
  <c r="CD23" i="2"/>
  <c r="CD157" i="2"/>
  <c r="CD192" i="2"/>
  <c r="CD139" i="2"/>
  <c r="CD97" i="2"/>
  <c r="CD173" i="2"/>
  <c r="CD10" i="2"/>
  <c r="CD153" i="2"/>
  <c r="CD176" i="2"/>
  <c r="CD148" i="2"/>
  <c r="CD140" i="2"/>
  <c r="CD126" i="2"/>
  <c r="CD82" i="2"/>
  <c r="CD54" i="2"/>
  <c r="CD108" i="2"/>
  <c r="CD6" i="2"/>
  <c r="CD181" i="2"/>
  <c r="CD197" i="2"/>
  <c r="CD89" i="2"/>
  <c r="CD78" i="2"/>
  <c r="CD136" i="2"/>
  <c r="CD127" i="2"/>
  <c r="CD98" i="2"/>
  <c r="CD190" i="2"/>
  <c r="CD132" i="2"/>
  <c r="CD121" i="2"/>
  <c r="CD26" i="2"/>
  <c r="CD38" i="2"/>
  <c r="CD154" i="2"/>
  <c r="CD39" i="2"/>
  <c r="CD95" i="2"/>
  <c r="CD36" i="2"/>
  <c r="CD141" i="2"/>
  <c r="CD55" i="2"/>
  <c r="CD25" i="2"/>
  <c r="CD198" i="2"/>
  <c r="CD180" i="2"/>
  <c r="CD34" i="2"/>
  <c r="CD175" i="2"/>
  <c r="CD114" i="2"/>
  <c r="CD14" i="2"/>
  <c r="CD145" i="2"/>
  <c r="CD189" i="2"/>
  <c r="CD50" i="2"/>
  <c r="CD200" i="2"/>
  <c r="CD52" i="2"/>
  <c r="CD187" i="2"/>
  <c r="CD71" i="2"/>
  <c r="CD134" i="2"/>
  <c r="CD184" i="2"/>
  <c r="CD103" i="2"/>
  <c r="CD92" i="2"/>
  <c r="CD151" i="2"/>
  <c r="CD4" i="2"/>
  <c r="CD120" i="2"/>
  <c r="CD85" i="2"/>
  <c r="CD105" i="2"/>
  <c r="CD65" i="2"/>
  <c r="CD72" i="2"/>
  <c r="CD53" i="2"/>
  <c r="CD8" i="2"/>
  <c r="CD20" i="2"/>
  <c r="CD22" i="2"/>
  <c r="CD130" i="2"/>
  <c r="CD149" i="2"/>
  <c r="CD161" i="2"/>
  <c r="CD83" i="2"/>
  <c r="CD9" i="2"/>
  <c r="CD191" i="2"/>
  <c r="CD44" i="2"/>
  <c r="CD165" i="2"/>
  <c r="CD18" i="2"/>
  <c r="CD179" i="2"/>
  <c r="CD137" i="2"/>
  <c r="CD164" i="2"/>
  <c r="CD106" i="2"/>
  <c r="CD177" i="2"/>
  <c r="CD40" i="2"/>
  <c r="CD158" i="2"/>
  <c r="CD143" i="2"/>
  <c r="CD11" i="2"/>
  <c r="CD63" i="2"/>
  <c r="CD51" i="2"/>
  <c r="CD117" i="2"/>
  <c r="CD70" i="2"/>
  <c r="CD75" i="2"/>
  <c r="CD42" i="2"/>
  <c r="CD29" i="2"/>
  <c r="CD96" i="2"/>
  <c r="CD142" i="2"/>
  <c r="CD147" i="2"/>
  <c r="CD169" i="2"/>
  <c r="CD59" i="2"/>
  <c r="CD107" i="2"/>
  <c r="CD12" i="2"/>
  <c r="CD110" i="2"/>
  <c r="CD172" i="2"/>
  <c r="CD81" i="2"/>
  <c r="CD119" i="2"/>
  <c r="CD183" i="2"/>
  <c r="CD109" i="2"/>
  <c r="CD195" i="2"/>
  <c r="CD168" i="2"/>
  <c r="CD90" i="2"/>
  <c r="CD79" i="2"/>
  <c r="CD58" i="2"/>
  <c r="CD128" i="2"/>
  <c r="CD21" i="2"/>
  <c r="CD160" i="2"/>
  <c r="CD61" i="2"/>
  <c r="CD77" i="2"/>
  <c r="CD135" i="2"/>
  <c r="CD30" i="2"/>
  <c r="CD133" i="2"/>
  <c r="CD31" i="2"/>
  <c r="CD41" i="2"/>
  <c r="CD118" i="2"/>
  <c r="CD185" i="2"/>
  <c r="CD68" i="2"/>
  <c r="CD49" i="2"/>
  <c r="CD170" i="2"/>
  <c r="CD57" i="2"/>
  <c r="CD93" i="2"/>
  <c r="CD46" i="2"/>
  <c r="CD73" i="2"/>
  <c r="CD102" i="2"/>
  <c r="CD62" i="2"/>
  <c r="CD193" i="2"/>
  <c r="CD166" i="2"/>
  <c r="CD35" i="2"/>
  <c r="CD104" i="2"/>
  <c r="CD201" i="2"/>
  <c r="CD123" i="2"/>
  <c r="CD150" i="2"/>
  <c r="CD178" i="2"/>
  <c r="CD202" i="2"/>
  <c r="CD19" i="2"/>
  <c r="CD16" i="2"/>
  <c r="CD111" i="2"/>
  <c r="CD32" i="2"/>
  <c r="CD100" i="2"/>
  <c r="CD64" i="2"/>
  <c r="CD113" i="2"/>
  <c r="CD74" i="2"/>
  <c r="CD174" i="2"/>
  <c r="CD116" i="2"/>
  <c r="CD144" i="2"/>
  <c r="CD15" i="2"/>
  <c r="CD146" i="2"/>
  <c r="CD18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<sst xmlns="http://schemas.openxmlformats.org/spreadsheetml/2006/main" count="1161" uniqueCount="324">
  <si>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</si>
  <si>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</si>
  <si>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</si>
  <si>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</si>
  <si>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</si>
  <si>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</si>
  <si>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</si>
  <si>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</si>
  <si>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</si>
  <si>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</si>
  <si>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</si>
  <si>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</si>
  <si>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</si>
  <si>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</si>
  <si>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</si>
  <si>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</si>
  <si>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</si>
  <si>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</si>
  <si>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</si>
  <si>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taeda</t>
  </si>
  <si>
    <t>Essence 3</t>
  </si>
  <si>
    <t>Robinier faux-acacia</t>
  </si>
  <si>
    <t>Essence 4</t>
  </si>
  <si>
    <t>Chêne pédonculé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</si>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</sst>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234.36323716840602</c:v>
                </c:pt>
                <c:pt idx="32">
                  <c:v>254.30172220416441</c:v>
                </c:pt>
                <c:pt idx="33">
                  <c:v>274.20482243650338</c:v>
                </c:pt>
                <c:pt idx="34">
                  <c:v>294.07546687495898</c:v>
                </c:pt>
                <c:pt idx="35">
                  <c:v>313.91615631143912</c:v>
                </c:pt>
                <c:pt idx="36">
                  <c:v>333.72904960580678</c:v>
                </c:pt>
                <c:pt idx="37">
                  <c:v>353.51602838820548</c:v>
                </c:pt>
                <c:pt idx="38">
                  <c:v>373.27874650728057</c:v>
                </c:pt>
                <c:pt idx="39">
                  <c:v>393.01866845402543</c:v>
                </c:pt>
                <c:pt idx="40">
                  <c:v>412.73709966044299</c:v>
                </c:pt>
                <c:pt idx="41">
                  <c:v>332.28900698270718</c:v>
                </c:pt>
                <c:pt idx="42">
                  <c:v>352.43737829470524</c:v>
                </c:pt>
                <c:pt idx="43">
                  <c:v>372.56050997482794</c:v>
                </c:pt>
                <c:pt idx="44">
                  <c:v>392.65995633948432</c:v>
                </c:pt>
                <c:pt idx="45">
                  <c:v>412.73709966044294</c:v>
                </c:pt>
                <c:pt idx="46">
                  <c:v>432.7931768227923</c:v>
                </c:pt>
                <c:pt idx="47">
                  <c:v>452.82930078346516</c:v>
                </c:pt>
                <c:pt idx="48">
                  <c:v>472.8464780341605</c:v>
                </c:pt>
                <c:pt idx="49">
                  <c:v>492.84562295362849</c:v>
                </c:pt>
                <c:pt idx="50">
                  <c:v>512.82756970962589</c:v>
                </c:pt>
                <c:pt idx="51">
                  <c:v>430.28728010448077</c:v>
                </c:pt>
                <c:pt idx="52">
                  <c:v>447.822083688443</c:v>
                </c:pt>
                <c:pt idx="53">
                  <c:v>465.34219697734244</c:v>
                </c:pt>
                <c:pt idx="54">
                  <c:v>482.848250644968</c:v>
                </c:pt>
                <c:pt idx="55">
                  <c:v>500.34082592690083</c:v>
                </c:pt>
                <c:pt idx="56">
                  <c:v>517.82046012438161</c:v>
                </c:pt>
                <c:pt idx="57">
                  <c:v>535.28765132659362</c:v>
                </c:pt>
                <c:pt idx="58">
                  <c:v>552.74286248474129</c:v>
                </c:pt>
                <c:pt idx="59">
                  <c:v>570.18652494495939</c:v>
                </c:pt>
                <c:pt idx="60">
                  <c:v>587.61904152662339</c:v>
                </c:pt>
                <c:pt idx="61">
                  <c:v>503.01710610159353</c:v>
                </c:pt>
                <c:pt idx="62">
                  <c:v>518.17705616178989</c:v>
                </c:pt>
                <c:pt idx="63">
                  <c:v>533.3276533779632</c:v>
                </c:pt>
                <c:pt idx="64">
                  <c:v>548.46920075259288</c:v>
                </c:pt>
                <c:pt idx="65">
                  <c:v>563.60198320153904</c:v>
                </c:pt>
                <c:pt idx="66">
                  <c:v>578.72626910034865</c:v>
                </c:pt>
                <c:pt idx="67">
                  <c:v>593.84231166058748</c:v>
                </c:pt>
                <c:pt idx="68">
                  <c:v>608.9503501588116</c:v>
                </c:pt>
                <c:pt idx="69">
                  <c:v>624.05061103730088</c:v>
                </c:pt>
                <c:pt idx="70">
                  <c:v>639.14330889277016</c:v>
                </c:pt>
                <c:pt idx="71">
                  <c:v>552.74286248474129</c:v>
                </c:pt>
                <c:pt idx="72">
                  <c:v>565.91565317360812</c:v>
                </c:pt>
                <c:pt idx="73">
                  <c:v>579.08203442466458</c:v>
                </c:pt>
                <c:pt idx="74">
                  <c:v>592.24217245006037</c:v>
                </c:pt>
                <c:pt idx="75">
                  <c:v>605.39622547563874</c:v>
                </c:pt>
                <c:pt idx="76">
                  <c:v>618.54434429348237</c:v>
                </c:pt>
                <c:pt idx="77">
                  <c:v>631.6866727650571</c:v>
                </c:pt>
                <c:pt idx="78">
                  <c:v>644.82334828032594</c:v>
                </c:pt>
                <c:pt idx="79">
                  <c:v>657.954502177525</c:v>
                </c:pt>
                <c:pt idx="80">
                  <c:v>671.08026012770199</c:v>
                </c:pt>
                <c:pt idx="81">
                  <c:v>583.35086355242265</c:v>
                </c:pt>
                <c:pt idx="82">
                  <c:v>595.08680233554469</c:v>
                </c:pt>
                <c:pt idx="83">
                  <c:v>606.81792719810755</c:v>
                </c:pt>
                <c:pt idx="84">
                  <c:v>618.54434429348237</c:v>
                </c:pt>
                <c:pt idx="85">
                  <c:v>630.26615542315426</c:v>
                </c:pt>
                <c:pt idx="86">
                  <c:v>641.98345829445509</c:v>
                </c:pt>
                <c:pt idx="87">
                  <c:v>653.69634675850784</c:v>
                </c:pt>
                <c:pt idx="88">
                  <c:v>665.40491103024135</c:v>
                </c:pt>
                <c:pt idx="89">
                  <c:v>677.10923789211859</c:v>
                </c:pt>
                <c:pt idx="90">
                  <c:v>688.80941088305383</c:v>
                </c:pt>
                <c:pt idx="91">
                  <c:v>599.8864745901825</c:v>
                </c:pt>
                <c:pt idx="92">
                  <c:v>610.37187931946244</c:v>
                </c:pt>
                <c:pt idx="93">
                  <c:v>620.85354700868629</c:v>
                </c:pt>
                <c:pt idx="94">
                  <c:v>631.33154962955371</c:v>
                </c:pt>
                <c:pt idx="95">
                  <c:v>641.80595657052174</c:v>
                </c:pt>
                <c:pt idx="96">
                  <c:v>652.27683477106223</c:v>
                </c:pt>
                <c:pt idx="97">
                  <c:v>662.74424884685482</c:v>
                </c:pt>
                <c:pt idx="98">
                  <c:v>673.20826120666038</c:v>
                </c:pt>
                <c:pt idx="99">
                  <c:v>683.66893216155495</c:v>
                </c:pt>
                <c:pt idx="100">
                  <c:v>694.12632002713235</c:v>
                </c:pt>
                <c:pt idx="101">
                  <c:v>605.75165740042155</c:v>
                </c:pt>
                <c:pt idx="102">
                  <c:v>614.99137555182222</c:v>
                </c:pt>
                <c:pt idx="103">
                  <c:v>624.22821574393265</c:v>
                </c:pt>
                <c:pt idx="104">
                  <c:v>633.4622265621307</c:v>
                </c:pt>
                <c:pt idx="105">
                  <c:v>642.69345505999547</c:v>
                </c:pt>
                <c:pt idx="106">
                  <c:v>651.92194682938123</c:v>
                </c:pt>
                <c:pt idx="107">
                  <c:v>661.14774606631465</c:v>
                </c:pt>
                <c:pt idx="108">
                  <c:v>670.37089563302823</c:v>
                </c:pt>
                <c:pt idx="109">
                  <c:v>679.59143711639888</c:v>
                </c:pt>
                <c:pt idx="110">
                  <c:v>688.80941088305337</c:v>
                </c:pt>
                <c:pt idx="111">
                  <c:v>606.28479716717038</c:v>
                </c:pt>
                <c:pt idx="112">
                  <c:v>614.28073080742161</c:v>
                </c:pt>
                <c:pt idx="113">
                  <c:v>622.27450634851618</c:v>
                </c:pt>
                <c:pt idx="114">
                  <c:v>630.26615542315403</c:v>
                </c:pt>
                <c:pt idx="115">
                  <c:v>638.25570879642146</c:v>
                </c:pt>
                <c:pt idx="116">
                  <c:v>646.24319640038686</c:v>
                </c:pt>
                <c:pt idx="117">
                  <c:v>654.22864736689314</c:v>
                </c:pt>
                <c:pt idx="118">
                  <c:v>662.21209005866956</c:v>
                </c:pt>
                <c:pt idx="119">
                  <c:v>670.19355209886214</c:v>
                </c:pt>
                <c:pt idx="120">
                  <c:v>678.17306039908749</c:v>
                </c:pt>
                <c:pt idx="121">
                  <c:v>602.01940560599712</c:v>
                </c:pt>
                <c:pt idx="122">
                  <c:v>609.30573889991354</c:v>
                </c:pt>
                <c:pt idx="123">
                  <c:v>616.59026400024413</c:v>
                </c:pt>
                <c:pt idx="124">
                  <c:v>623.87300528400885</c:v>
                </c:pt>
                <c:pt idx="125">
                  <c:v>631.15398651263888</c:v>
                </c:pt>
                <c:pt idx="126">
                  <c:v>638.43323085459633</c:v>
                </c:pt>
                <c:pt idx="127">
                  <c:v>645.71076090691292</c:v>
                </c:pt>
                <c:pt idx="128">
                  <c:v>652.98659871570203</c:v>
                </c:pt>
                <c:pt idx="129">
                  <c:v>660.26076579571293</c:v>
                </c:pt>
                <c:pt idx="130">
                  <c:v>667.53328314897692</c:v>
                </c:pt>
                <c:pt idx="131">
                  <c:v>596.15346552704329</c:v>
                </c:pt>
                <c:pt idx="132">
                  <c:v>602.90808047917312</c:v>
                </c:pt>
                <c:pt idx="133">
                  <c:v>609.66112333848082</c:v>
                </c:pt>
                <c:pt idx="134">
                  <c:v>616.41261397739322</c:v>
                </c:pt>
                <c:pt idx="135">
                  <c:v>623.16257179744491</c:v>
                </c:pt>
                <c:pt idx="136">
                  <c:v>629.9110157455292</c:v>
                </c:pt>
                <c:pt idx="137">
                  <c:v>636.65796432941295</c:v>
                </c:pt>
                <c:pt idx="138">
                  <c:v>643.40343563256113</c:v>
                </c:pt>
                <c:pt idx="139">
                  <c:v>650.14744732830798</c:v>
                </c:pt>
                <c:pt idx="140">
                  <c:v>656.89001669340769</c:v>
                </c:pt>
                <c:pt idx="141">
                  <c:v>590.10851345584717</c:v>
                </c:pt>
                <c:pt idx="142">
                  <c:v>596.15346552704364</c:v>
                </c:pt>
                <c:pt idx="143">
                  <c:v>602.19714276019192</c:v>
                </c:pt>
                <c:pt idx="144">
                  <c:v>608.23955975752642</c:v>
                </c:pt>
                <c:pt idx="145">
                  <c:v>614.28073080742195</c:v>
                </c:pt>
                <c:pt idx="146">
                  <c:v>620.32066989422731</c:v>
                </c:pt>
                <c:pt idx="147">
                  <c:v>626.35939070769678</c:v>
                </c:pt>
                <c:pt idx="148">
                  <c:v>632.39690665203761</c:v>
                </c:pt>
                <c:pt idx="149">
                  <c:v>638.43323085459633</c:v>
                </c:pt>
                <c:pt idx="150">
                  <c:v>644.46837617419669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>
    <pageSetUpPr fitToPage="1"/>
  </sheetPr>
  <dimension ref="B12:M31"/>
  <sheetViews>
    <sheetView showGridLines="0" showRowColHeaders="0" topLeftCell="A7" zoomScale="80" zoomScaleNormal="80" workbookViewId="0">
      <selection activeCell="C59" sqref="C59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85" zoomScaleNormal="85" zoomScaleSheetLayoutView="55" workbookViewId="0">
      <selection activeCell="K99" sqref="K9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11.855600000000001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16</v>
      </c>
      <c r="C9" s="32">
        <v>0.4</v>
      </c>
      <c r="D9" s="33">
        <f t="shared" ref="D9:D18" si="0">C9*$C$5</f>
        <v>4.7422400000000007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19</v>
      </c>
      <c r="C10" s="32">
        <v>0.4</v>
      </c>
      <c r="D10" s="33">
        <f t="shared" si="0"/>
        <v>4.7422400000000007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 t="s">
        <v>21</v>
      </c>
      <c r="C11" s="32">
        <v>0.15</v>
      </c>
      <c r="D11" s="33">
        <f t="shared" si="0"/>
        <v>1.77834</v>
      </c>
      <c r="E11" s="34">
        <v>45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22</v>
      </c>
      <c r="B12" s="31" t="s">
        <v>23</v>
      </c>
      <c r="C12" s="32">
        <v>0.05</v>
      </c>
      <c r="D12" s="33">
        <f t="shared" si="0"/>
        <v>0.59278000000000008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25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26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27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28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29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30</v>
      </c>
      <c r="C19" s="37">
        <f>SUM(C9:C18)</f>
        <v>1</v>
      </c>
      <c r="D19" s="38">
        <f>SUM(D9:D18)</f>
        <v>11.855600000000001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31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32</v>
      </c>
      <c r="B24" s="42" t="s">
        <v>33</v>
      </c>
      <c r="C24" s="43">
        <v>0.2</v>
      </c>
      <c r="D24" s="44" t="s">
        <v>34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35</v>
      </c>
      <c r="B25" s="42" t="s">
        <v>36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37</v>
      </c>
      <c r="B26" s="42" t="s">
        <v>38</v>
      </c>
      <c r="C26" s="43">
        <v>0.15</v>
      </c>
      <c r="D26" s="44" t="s">
        <v>39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40</v>
      </c>
      <c r="B27" s="42" t="s">
        <v>41</v>
      </c>
      <c r="C27" s="43">
        <v>0</v>
      </c>
      <c r="D27" s="44" t="s">
        <v>42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43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Pin maritime</v>
      </c>
      <c r="D32" s="229" t="s">
        <v>44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45</v>
      </c>
      <c r="C34" s="259" t="s">
        <v>46</v>
      </c>
      <c r="D34" s="259"/>
      <c r="E34" s="260" t="s">
        <v>47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48</v>
      </c>
      <c r="B35" s="36" t="s">
        <v>49</v>
      </c>
      <c r="C35" s="48" t="s">
        <v>50</v>
      </c>
      <c r="D35" s="48" t="s">
        <v>51</v>
      </c>
      <c r="E35" s="36" t="s">
        <v>52</v>
      </c>
      <c r="F35" s="36" t="s">
        <v>53</v>
      </c>
      <c r="G35" s="36" t="s">
        <v>54</v>
      </c>
      <c r="H35" s="36" t="s">
        <v>55</v>
      </c>
      <c r="I35" s="48" t="s">
        <v>56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Pin taeda</v>
      </c>
      <c r="D58" s="229" t="s">
        <v>44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45</v>
      </c>
      <c r="C60" s="259" t="s">
        <v>46</v>
      </c>
      <c r="D60" s="259"/>
      <c r="E60" s="260" t="s">
        <v>47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48</v>
      </c>
      <c r="B61" s="36" t="s">
        <v>49</v>
      </c>
      <c r="C61" s="48" t="s">
        <v>50</v>
      </c>
      <c r="D61" s="48" t="s">
        <v>51</v>
      </c>
      <c r="E61" s="36" t="s">
        <v>52</v>
      </c>
      <c r="F61" s="36" t="s">
        <v>53</v>
      </c>
      <c r="G61" s="36" t="s">
        <v>54</v>
      </c>
      <c r="H61" s="36" t="s">
        <v>55</v>
      </c>
      <c r="I61" s="48" t="s">
        <v>56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12</v>
      </c>
      <c r="B62" s="60">
        <v>46.2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3.85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16</v>
      </c>
      <c r="B63" s="60">
        <v>107.5</v>
      </c>
      <c r="C63" s="60">
        <v>2</v>
      </c>
      <c r="D63" s="60">
        <v>25</v>
      </c>
      <c r="E63" s="51"/>
      <c r="F63" s="51"/>
      <c r="G63" s="51">
        <v>0.5</v>
      </c>
      <c r="H63" s="51">
        <v>0.5</v>
      </c>
      <c r="I63" s="49">
        <f>IF(A63&lt;&gt;0,(B63-(B62-D62))/(A63-A62),"")</f>
        <v>15.324999999999999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176.3-SUM(D62:D63)</f>
        <v>151.30000000000001</v>
      </c>
      <c r="C64" s="60">
        <v>3</v>
      </c>
      <c r="D64" s="60">
        <v>33.700000000000003</v>
      </c>
      <c r="E64" s="51">
        <v>0.2</v>
      </c>
      <c r="F64" s="51"/>
      <c r="G64" s="51">
        <v>0.6</v>
      </c>
      <c r="H64" s="51">
        <v>0.2</v>
      </c>
      <c r="I64" s="49">
        <f>IF(A64&lt;&gt;0,(B64-(B63-D63))/(A64-A63),"")</f>
        <v>17.200000000000003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24</v>
      </c>
      <c r="B65" s="60">
        <f>255.9-SUM(D62:D64)</f>
        <v>197.2</v>
      </c>
      <c r="C65" s="60">
        <v>4</v>
      </c>
      <c r="D65" s="60">
        <v>42.9</v>
      </c>
      <c r="E65" s="51">
        <v>0.3</v>
      </c>
      <c r="F65" s="51"/>
      <c r="G65" s="51">
        <v>0.5</v>
      </c>
      <c r="H65" s="51">
        <v>0.2</v>
      </c>
      <c r="I65" s="49">
        <f>IF(A65&lt;&gt;0,(B65-(B64-D64))/(A65-A64),"")</f>
        <v>19.899999999999995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28</v>
      </c>
      <c r="B66" s="60">
        <f>335.4-SUM(D62:D65)</f>
        <v>233.79999999999998</v>
      </c>
      <c r="C66" s="60">
        <v>5</v>
      </c>
      <c r="D66" s="60">
        <v>41.4</v>
      </c>
      <c r="E66" s="51">
        <v>0.5</v>
      </c>
      <c r="F66" s="51"/>
      <c r="G66" s="51">
        <v>0.4</v>
      </c>
      <c r="H66" s="51">
        <v>0.1</v>
      </c>
      <c r="I66" s="49">
        <f t="shared" ref="I66:I81" si="2">IF(A66&lt;&gt;0,(B66-(B65-D65))/(A66-A65),"")</f>
        <v>19.875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34</v>
      </c>
      <c r="B67" s="60">
        <f>447.6-SUM(D62:D66)</f>
        <v>304.60000000000002</v>
      </c>
      <c r="C67" s="60">
        <v>6</v>
      </c>
      <c r="D67" s="60">
        <v>59.9</v>
      </c>
      <c r="E67" s="51">
        <v>0.7</v>
      </c>
      <c r="F67" s="51"/>
      <c r="G67" s="51">
        <v>0.2</v>
      </c>
      <c r="H67" s="51">
        <v>0.1</v>
      </c>
      <c r="I67" s="49">
        <f t="shared" si="2"/>
        <v>18.700000000000006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f>536.7-SUM(D62:D67)</f>
        <v>333.80000000000007</v>
      </c>
      <c r="C68" s="60">
        <v>7</v>
      </c>
      <c r="D68" s="60">
        <v>34.1</v>
      </c>
      <c r="E68" s="51"/>
      <c r="F68" s="51"/>
      <c r="G68" s="51"/>
      <c r="H68" s="51"/>
      <c r="I68" s="49">
        <f t="shared" si="2"/>
        <v>14.850000000000009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46</v>
      </c>
      <c r="B69" s="60">
        <f>603-SUM(D62:D68)</f>
        <v>366</v>
      </c>
      <c r="C69" s="60">
        <v>8</v>
      </c>
      <c r="D69" s="60">
        <v>21.3</v>
      </c>
      <c r="E69" s="51"/>
      <c r="F69" s="51"/>
      <c r="G69" s="51"/>
      <c r="H69" s="51"/>
      <c r="I69" s="49">
        <f t="shared" si="2"/>
        <v>11.049999999999992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54</v>
      </c>
      <c r="B70" s="60">
        <f>661.4-SUM(D62:D69)</f>
        <v>403.09999999999997</v>
      </c>
      <c r="C70" s="60">
        <v>9</v>
      </c>
      <c r="D70" s="60">
        <v>17.399999999999999</v>
      </c>
      <c r="E70" s="51"/>
      <c r="F70" s="51"/>
      <c r="G70" s="51"/>
      <c r="H70" s="51"/>
      <c r="I70" s="49">
        <f t="shared" si="2"/>
        <v>7.2999999999999972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62</v>
      </c>
      <c r="B71" s="60">
        <f>685.7-SUM(D62:D70)</f>
        <v>410.00000000000006</v>
      </c>
      <c r="C71" s="60">
        <v>10</v>
      </c>
      <c r="D71" s="60">
        <f>B71</f>
        <v>410.00000000000006</v>
      </c>
      <c r="E71" s="51"/>
      <c r="F71" s="51"/>
      <c r="G71" s="51"/>
      <c r="H71" s="51"/>
      <c r="I71" s="49">
        <f t="shared" si="2"/>
        <v>3.0375000000000085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>Robinier faux-acacia</v>
      </c>
      <c r="D84" s="229" t="s">
        <v>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45</v>
      </c>
      <c r="C86" s="259" t="s">
        <v>46</v>
      </c>
      <c r="D86" s="259"/>
      <c r="E86" s="260" t="s">
        <v>47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48</v>
      </c>
      <c r="B87" s="36" t="s">
        <v>49</v>
      </c>
      <c r="C87" s="48" t="s">
        <v>50</v>
      </c>
      <c r="D87" s="48" t="s">
        <v>51</v>
      </c>
      <c r="E87" s="36" t="s">
        <v>52</v>
      </c>
      <c r="F87" s="36" t="s">
        <v>53</v>
      </c>
      <c r="G87" s="36" t="s">
        <v>54</v>
      </c>
      <c r="H87" s="36" t="s">
        <v>55</v>
      </c>
      <c r="I87" s="48" t="s">
        <v>56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</v>
      </c>
      <c r="B88" s="60">
        <v>41</v>
      </c>
      <c r="C88" s="60">
        <v>1</v>
      </c>
      <c r="D88" s="60">
        <v>8</v>
      </c>
      <c r="E88" s="51"/>
      <c r="F88" s="51"/>
      <c r="G88" s="51"/>
      <c r="H88" s="87"/>
      <c r="I88" s="53">
        <f>IFERROR(B88/A88,"")</f>
        <v>8.1999999999999993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10</v>
      </c>
      <c r="B89" s="60">
        <f>129-D88</f>
        <v>121</v>
      </c>
      <c r="C89" s="60">
        <v>2</v>
      </c>
      <c r="D89" s="60">
        <v>37</v>
      </c>
      <c r="E89" s="51"/>
      <c r="F89" s="51"/>
      <c r="G89" s="51"/>
      <c r="H89" s="87"/>
      <c r="I89" s="53">
        <f t="shared" ref="I89:I107" si="3">IF(A89&lt;&gt;0,(B89-(B88-D88))/(A89-A88),"")</f>
        <v>17.600000000000001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15</v>
      </c>
      <c r="B90" s="60">
        <f>214-SUM(D88:D89)</f>
        <v>169</v>
      </c>
      <c r="C90" s="60">
        <v>3</v>
      </c>
      <c r="D90" s="60">
        <v>29</v>
      </c>
      <c r="E90" s="87">
        <v>1</v>
      </c>
      <c r="F90" s="87"/>
      <c r="G90" s="87"/>
      <c r="H90" s="87"/>
      <c r="I90" s="53">
        <f t="shared" si="3"/>
        <v>17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20</v>
      </c>
      <c r="B91" s="60">
        <f>291-SUM(D88:D90)</f>
        <v>217</v>
      </c>
      <c r="C91" s="60">
        <v>4</v>
      </c>
      <c r="D91" s="60">
        <v>23</v>
      </c>
      <c r="E91" s="87"/>
      <c r="F91" s="87"/>
      <c r="G91" s="87"/>
      <c r="H91" s="87"/>
      <c r="I91" s="53">
        <f t="shared" si="3"/>
        <v>15.4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25</v>
      </c>
      <c r="B92" s="60">
        <f>356-SUM(D88:D91)</f>
        <v>259</v>
      </c>
      <c r="C92" s="60">
        <v>5</v>
      </c>
      <c r="D92" s="60">
        <v>18</v>
      </c>
      <c r="E92" s="87">
        <v>1</v>
      </c>
      <c r="F92" s="87"/>
      <c r="G92" s="87"/>
      <c r="H92" s="87"/>
      <c r="I92" s="53">
        <f t="shared" si="3"/>
        <v>13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30</v>
      </c>
      <c r="B93" s="60">
        <f>409-SUM(D88:D92)</f>
        <v>294</v>
      </c>
      <c r="C93" s="60">
        <v>6</v>
      </c>
      <c r="D93" s="60">
        <v>14</v>
      </c>
      <c r="E93" s="87"/>
      <c r="F93" s="87"/>
      <c r="G93" s="87"/>
      <c r="H93" s="87"/>
      <c r="I93" s="53">
        <f t="shared" si="3"/>
        <v>10.6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35</v>
      </c>
      <c r="B94" s="60">
        <f>452-SUM(D88:D93)</f>
        <v>323</v>
      </c>
      <c r="C94" s="60">
        <v>7</v>
      </c>
      <c r="D94" s="60">
        <v>11</v>
      </c>
      <c r="E94" s="87">
        <v>1</v>
      </c>
      <c r="F94" s="87"/>
      <c r="G94" s="87"/>
      <c r="H94" s="87"/>
      <c r="I94" s="53">
        <f t="shared" si="3"/>
        <v>8.6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40</v>
      </c>
      <c r="B95" s="60">
        <f>490-SUM(D88:D94)</f>
        <v>350</v>
      </c>
      <c r="C95" s="60">
        <v>8</v>
      </c>
      <c r="D95" s="60">
        <v>9</v>
      </c>
      <c r="E95" s="87"/>
      <c r="F95" s="87"/>
      <c r="G95" s="87"/>
      <c r="H95" s="87"/>
      <c r="I95" s="53">
        <f t="shared" si="3"/>
        <v>7.6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45</v>
      </c>
      <c r="B96" s="60">
        <f>527-SUM(D88:D95)</f>
        <v>378</v>
      </c>
      <c r="C96" s="60">
        <v>9</v>
      </c>
      <c r="D96" s="60">
        <f>B96</f>
        <v>378</v>
      </c>
      <c r="E96" s="87"/>
      <c r="F96" s="87"/>
      <c r="G96" s="87"/>
      <c r="H96" s="87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22</v>
      </c>
      <c r="B110" s="52" t="str">
        <f>IF(B12="","",B12)</f>
        <v>Chêne pédonculé</v>
      </c>
      <c r="D110" s="229" t="s">
        <v>44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45</v>
      </c>
      <c r="C112" s="259" t="s">
        <v>46</v>
      </c>
      <c r="D112" s="259"/>
      <c r="E112" s="260" t="s">
        <v>47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48</v>
      </c>
      <c r="B113" s="36" t="s">
        <v>49</v>
      </c>
      <c r="C113" s="48" t="s">
        <v>50</v>
      </c>
      <c r="D113" s="48" t="s">
        <v>51</v>
      </c>
      <c r="E113" s="36" t="s">
        <v>52</v>
      </c>
      <c r="F113" s="36" t="s">
        <v>53</v>
      </c>
      <c r="G113" s="36" t="s">
        <v>54</v>
      </c>
      <c r="H113" s="36" t="s">
        <v>55</v>
      </c>
      <c r="I113" s="48" t="s">
        <v>56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73</v>
      </c>
      <c r="C114" s="50">
        <v>1</v>
      </c>
      <c r="D114" s="60">
        <v>6</v>
      </c>
      <c r="E114" s="51"/>
      <c r="F114" s="51"/>
      <c r="G114" s="51"/>
      <c r="H114" s="51">
        <v>1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f>155-D114</f>
        <v>149</v>
      </c>
      <c r="C115" s="50">
        <v>2</v>
      </c>
      <c r="D115" s="60">
        <v>34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8.1999999999999993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f>265-SUM($D$114:D115)</f>
        <v>225</v>
      </c>
      <c r="C116" s="50">
        <v>3</v>
      </c>
      <c r="D116" s="60">
        <v>56</v>
      </c>
      <c r="E116" s="51"/>
      <c r="F116" s="51"/>
      <c r="G116" s="51"/>
      <c r="H116" s="51">
        <v>1</v>
      </c>
      <c r="I116" s="53">
        <f t="shared" si="4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f>377-SUM($D$114:D116)</f>
        <v>281</v>
      </c>
      <c r="C117" s="50">
        <v>4</v>
      </c>
      <c r="D117" s="60">
        <v>56</v>
      </c>
      <c r="E117" s="51">
        <v>1</v>
      </c>
      <c r="F117" s="51"/>
      <c r="G117" s="51"/>
      <c r="H117" s="51"/>
      <c r="I117" s="53">
        <f t="shared" si="4"/>
        <v>11.2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f>475-SUM($D$114:D117)</f>
        <v>323</v>
      </c>
      <c r="C118" s="50">
        <v>5</v>
      </c>
      <c r="D118" s="60">
        <v>56</v>
      </c>
      <c r="E118" s="51"/>
      <c r="F118" s="51"/>
      <c r="G118" s="51"/>
      <c r="H118" s="51"/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f>560-SUM($D$114:D118)</f>
        <v>352</v>
      </c>
      <c r="C119" s="50">
        <v>6</v>
      </c>
      <c r="D119" s="60">
        <v>56</v>
      </c>
      <c r="E119" s="51">
        <v>1</v>
      </c>
      <c r="F119" s="51"/>
      <c r="G119" s="51"/>
      <c r="H119" s="51"/>
      <c r="I119" s="53">
        <f t="shared" si="4"/>
        <v>8.5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634-SUM($D$114:D119)</f>
        <v>370</v>
      </c>
      <c r="C120" s="60">
        <v>7</v>
      </c>
      <c r="D120" s="60">
        <v>56</v>
      </c>
      <c r="E120" s="87"/>
      <c r="F120" s="87"/>
      <c r="G120" s="87"/>
      <c r="H120" s="87"/>
      <c r="I120" s="53">
        <f t="shared" si="4"/>
        <v>7.4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f>700-SUM($D$114:D120)</f>
        <v>380</v>
      </c>
      <c r="C121" s="60">
        <v>8</v>
      </c>
      <c r="D121" s="60">
        <v>56</v>
      </c>
      <c r="E121" s="87">
        <v>1</v>
      </c>
      <c r="F121" s="87"/>
      <c r="G121" s="87"/>
      <c r="H121" s="87"/>
      <c r="I121" s="53">
        <f t="shared" si="4"/>
        <v>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f>759-SUM($D$114:D121)</f>
        <v>383</v>
      </c>
      <c r="C122" s="60">
        <v>9</v>
      </c>
      <c r="D122" s="60">
        <v>55</v>
      </c>
      <c r="E122" s="87"/>
      <c r="F122" s="87"/>
      <c r="G122" s="87"/>
      <c r="H122" s="87"/>
      <c r="I122" s="53">
        <f t="shared" si="4"/>
        <v>5.9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f>811-SUM($D$114:D122)</f>
        <v>380</v>
      </c>
      <c r="C123" s="60">
        <v>10</v>
      </c>
      <c r="D123" s="60">
        <v>51</v>
      </c>
      <c r="E123" s="87">
        <v>1</v>
      </c>
      <c r="F123" s="87"/>
      <c r="G123" s="87"/>
      <c r="H123" s="87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f>856-SUM($D$114:D123)</f>
        <v>374</v>
      </c>
      <c r="C124" s="60">
        <v>11</v>
      </c>
      <c r="D124" s="60">
        <v>47</v>
      </c>
      <c r="E124" s="87"/>
      <c r="F124" s="87"/>
      <c r="G124" s="87"/>
      <c r="H124" s="87"/>
      <c r="I124" s="53">
        <f t="shared" si="4"/>
        <v>4.5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130</v>
      </c>
      <c r="B125" s="60">
        <f>897-SUM($D$114:D124)</f>
        <v>368</v>
      </c>
      <c r="C125" s="60">
        <v>12</v>
      </c>
      <c r="D125" s="60">
        <v>44</v>
      </c>
      <c r="E125" s="87">
        <v>1</v>
      </c>
      <c r="F125" s="87"/>
      <c r="G125" s="87"/>
      <c r="H125" s="87"/>
      <c r="I125" s="53">
        <f t="shared" si="4"/>
        <v>4.0999999999999996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140</v>
      </c>
      <c r="B126" s="60">
        <f>935-SUM($D$114:D125)</f>
        <v>362</v>
      </c>
      <c r="C126" s="60">
        <v>13</v>
      </c>
      <c r="D126" s="60">
        <v>41</v>
      </c>
      <c r="E126" s="65"/>
      <c r="F126" s="65"/>
      <c r="G126" s="65"/>
      <c r="H126" s="65"/>
      <c r="I126" s="53">
        <f t="shared" si="4"/>
        <v>3.8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150</v>
      </c>
      <c r="B127" s="60">
        <f>969-SUM($D$114:D126)</f>
        <v>355</v>
      </c>
      <c r="C127" s="60">
        <v>14</v>
      </c>
      <c r="D127" s="60">
        <f>B127</f>
        <v>355</v>
      </c>
      <c r="E127" s="65">
        <v>1</v>
      </c>
      <c r="F127" s="65"/>
      <c r="G127" s="65"/>
      <c r="H127" s="65"/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24</v>
      </c>
      <c r="B136" s="52" t="str">
        <f>IF(B13="","",B13)</f>
        <v/>
      </c>
      <c r="D136" s="229" t="s">
        <v>44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45</v>
      </c>
      <c r="C138" s="259" t="s">
        <v>46</v>
      </c>
      <c r="D138" s="259"/>
      <c r="E138" s="260" t="s">
        <v>47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48</v>
      </c>
      <c r="B139" s="36" t="s">
        <v>49</v>
      </c>
      <c r="C139" s="48" t="s">
        <v>50</v>
      </c>
      <c r="D139" s="48" t="s">
        <v>51</v>
      </c>
      <c r="E139" s="36" t="s">
        <v>52</v>
      </c>
      <c r="F139" s="36" t="s">
        <v>53</v>
      </c>
      <c r="G139" s="36" t="s">
        <v>54</v>
      </c>
      <c r="H139" s="36" t="s">
        <v>55</v>
      </c>
      <c r="I139" s="48" t="s">
        <v>56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25</v>
      </c>
      <c r="B162" s="52" t="str">
        <f>IF(B14="","",B14)</f>
        <v/>
      </c>
      <c r="D162" s="229" t="s">
        <v>44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45</v>
      </c>
      <c r="C164" s="259" t="s">
        <v>46</v>
      </c>
      <c r="D164" s="259"/>
      <c r="E164" s="260" t="s">
        <v>47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48</v>
      </c>
      <c r="B165" s="36" t="s">
        <v>49</v>
      </c>
      <c r="C165" s="48" t="s">
        <v>50</v>
      </c>
      <c r="D165" s="48" t="s">
        <v>51</v>
      </c>
      <c r="E165" s="36" t="s">
        <v>52</v>
      </c>
      <c r="F165" s="36" t="s">
        <v>53</v>
      </c>
      <c r="G165" s="36" t="s">
        <v>54</v>
      </c>
      <c r="H165" s="36" t="s">
        <v>55</v>
      </c>
      <c r="I165" s="48" t="s">
        <v>56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26</v>
      </c>
      <c r="B188" s="52" t="str">
        <f>IF(B15="","",B15)</f>
        <v/>
      </c>
      <c r="D188" s="229" t="s">
        <v>44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45</v>
      </c>
      <c r="C190" s="259" t="s">
        <v>46</v>
      </c>
      <c r="D190" s="259"/>
      <c r="E190" s="260" t="s">
        <v>47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48</v>
      </c>
      <c r="B191" s="36" t="s">
        <v>49</v>
      </c>
      <c r="C191" s="48" t="s">
        <v>50</v>
      </c>
      <c r="D191" s="48" t="s">
        <v>51</v>
      </c>
      <c r="E191" s="36" t="s">
        <v>52</v>
      </c>
      <c r="F191" s="36" t="s">
        <v>53</v>
      </c>
      <c r="G191" s="36" t="s">
        <v>54</v>
      </c>
      <c r="H191" s="36" t="s">
        <v>55</v>
      </c>
      <c r="I191" s="48" t="s">
        <v>56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27</v>
      </c>
      <c r="B214" s="52" t="str">
        <f>IF(B16="","",B16)</f>
        <v/>
      </c>
      <c r="D214" s="229" t="s">
        <v>44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45</v>
      </c>
      <c r="C216" s="259" t="s">
        <v>46</v>
      </c>
      <c r="D216" s="259"/>
      <c r="E216" s="260" t="s">
        <v>47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48</v>
      </c>
      <c r="B217" s="36" t="s">
        <v>49</v>
      </c>
      <c r="C217" s="48" t="s">
        <v>50</v>
      </c>
      <c r="D217" s="48" t="s">
        <v>51</v>
      </c>
      <c r="E217" s="36" t="s">
        <v>52</v>
      </c>
      <c r="F217" s="36" t="s">
        <v>53</v>
      </c>
      <c r="G217" s="36" t="s">
        <v>54</v>
      </c>
      <c r="H217" s="36" t="s">
        <v>55</v>
      </c>
      <c r="I217" s="48" t="s">
        <v>56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28</v>
      </c>
      <c r="B240" s="52" t="str">
        <f>IF(B17="","",B17)</f>
        <v/>
      </c>
      <c r="D240" s="229" t="s">
        <v>44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45</v>
      </c>
      <c r="C242" s="259" t="s">
        <v>46</v>
      </c>
      <c r="D242" s="259"/>
      <c r="E242" s="260" t="s">
        <v>47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48</v>
      </c>
      <c r="B243" s="36" t="s">
        <v>49</v>
      </c>
      <c r="C243" s="48" t="s">
        <v>50</v>
      </c>
      <c r="D243" s="48" t="s">
        <v>51</v>
      </c>
      <c r="E243" s="36" t="s">
        <v>52</v>
      </c>
      <c r="F243" s="36" t="s">
        <v>53</v>
      </c>
      <c r="G243" s="36" t="s">
        <v>54</v>
      </c>
      <c r="H243" s="36" t="s">
        <v>55</v>
      </c>
      <c r="I243" s="48" t="s">
        <v>56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29</v>
      </c>
      <c r="B266" s="52" t="str">
        <f>IF(B18="","",B18)</f>
        <v/>
      </c>
      <c r="D266" s="229" t="s">
        <v>44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45</v>
      </c>
      <c r="C268" s="259" t="s">
        <v>46</v>
      </c>
      <c r="D268" s="259"/>
      <c r="E268" s="260" t="s">
        <v>47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48</v>
      </c>
      <c r="B269" s="36" t="s">
        <v>49</v>
      </c>
      <c r="C269" s="48" t="s">
        <v>50</v>
      </c>
      <c r="D269" s="48" t="s">
        <v>51</v>
      </c>
      <c r="E269" s="36" t="s">
        <v>52</v>
      </c>
      <c r="F269" s="36" t="s">
        <v>53</v>
      </c>
      <c r="G269" s="36" t="s">
        <v>54</v>
      </c>
      <c r="H269" s="36" t="s">
        <v>55</v>
      </c>
      <c r="I269" s="48" t="s">
        <v>56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29" fitToHeight="0" orientation="portrait" r:id="rId1"/>
  <rowBreaks count="1" manualBreakCount="1">
    <brk id="134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34" sqref="C3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57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62</v>
      </c>
      <c r="D8" s="23"/>
      <c r="E8" s="105">
        <v>4</v>
      </c>
      <c r="F8" s="61">
        <v>0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59</v>
      </c>
      <c r="C15" s="4"/>
      <c r="D15" s="23"/>
      <c r="E15" s="4"/>
      <c r="F15" s="4"/>
      <c r="G15" s="2" t="s">
        <v>71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75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Robinier faux-acacia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pédonculé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52</v>
      </c>
      <c r="X2" s="7" t="s">
        <v>53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52</v>
      </c>
      <c r="AS2" s="7" t="s">
        <v>53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52</v>
      </c>
      <c r="BN2" s="7" t="s">
        <v>53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52</v>
      </c>
      <c r="CI2" s="7" t="s">
        <v>53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52</v>
      </c>
      <c r="DD2" s="7" t="s">
        <v>53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52</v>
      </c>
      <c r="DY2" s="7" t="s">
        <v>53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52</v>
      </c>
      <c r="ET2" s="7" t="s">
        <v>53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52</v>
      </c>
      <c r="FO2" s="7" t="s">
        <v>53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52</v>
      </c>
      <c r="GJ2" s="7" t="s">
        <v>53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52</v>
      </c>
      <c r="HE2" s="7" t="s">
        <v>53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318.97291652986593</v>
      </c>
      <c r="T3" s="59">
        <f>IF('Données projet'!E9&gt;30,$R$33-$H$33,LOOKUP('Données projet'!$E$9,$A$3:$A$203,R3:R203)-LOOKUP('Données projet'!$E$9,$A$3:$A$203,$H$3:$H$203))</f>
        <v>338.19413170988122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318.97291652986593</v>
      </c>
      <c r="AO3" s="59">
        <f>IF('Données projet'!E10&gt;30,$AM$33-$H$33,LOOKUP('Données projet'!$E$10,$A$3:$A$203,AM3:AM203)-LOOKUP('Données projet'!$E$10,$A$3:$A$203,$H$3:$H$203))</f>
        <v>338.19413170988122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436.23918637269577</v>
      </c>
      <c r="BJ3" s="59">
        <f>IF('Données projet'!E11&gt;30,$BH$33-$H$33,LOOKUP('Données projet'!$E$11,$A$3:$A$203,BH3:BH203)-LOOKUP('Données projet'!$E$11,$A$3:$A$203,$H$3:$H$203))</f>
        <v>611.43967996341894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507.79096804746297</v>
      </c>
      <c r="CE3" s="59">
        <f>IF('Données projet'!E12&gt;30,$CC$33-$H$33,LOOKUP('Données projet'!$E$12,$A$3:$A$203,CC3:CC203)-LOOKUP('Données projet'!$E$12,$A$3:$A$203,$H$3:$H$203))</f>
        <v>312.67921212138998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318.97291652986593</v>
      </c>
      <c r="T4" s="59">
        <f>$T$3</f>
        <v>338.19413170988122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3.85</v>
      </c>
      <c r="AI4" s="13">
        <f>IF('Données projet'!$A$62&gt;35,AI3+AH4-AQ3,IF(A4&lt;'Données projet'!$A$62,$AF$205^A4,IF(A4='Données projet'!$A$62,'Données projet'!$B$62,AI3+AH4-AQ3)))</f>
        <v>1.3763223570336161</v>
      </c>
      <c r="AJ4" s="13">
        <f>AI4*VLOOKUP('Données projet'!$B$10,Paramètres!$A$1:$I$89,3,0)*VLOOKUP('Données projet'!$B$10,Paramètres!$A$1:$I$89,5,0)</f>
        <v>0.82304076950610239</v>
      </c>
      <c r="AK4" s="13">
        <f>EXP(-1.0587+0.8836*LN(AJ4)+0.284)</f>
        <v>0.38798806692284393</v>
      </c>
      <c r="AL4" s="20">
        <f t="shared" ref="AL4:AL67" si="4">(AJ4+AK4)*0.475*44/12</f>
        <v>2.1092085567804149</v>
      </c>
      <c r="AM4" s="59">
        <f t="shared" ref="AM4:AM67" si="5">AL4+(AD4+AE4)*44/12</f>
        <v>259.99809744566926</v>
      </c>
      <c r="AN4" s="59">
        <f ca="1">AVERAGE(OFFSET($AM$3,0,0,'Données projet'!$E$10+1,1))-AVERAGE(OFFSET($H$3,0,0,'Données projet'!$E$10+1,1))</f>
        <v>318.97291652986593</v>
      </c>
      <c r="AO4" s="59">
        <f>$AO$3</f>
        <v>338.19413170988122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8.1999999999999993</v>
      </c>
      <c r="BD4" s="12">
        <f>IF('Données projet'!$A$88&gt;35,BD3+BC4-BL3,IF(A4&lt;'Données projet'!$A$88,$BA$205^A4,IF(A4='Données projet'!$A$88,'Données projet'!$B$88,BD3+BC4-BL3)))</f>
        <v>2.1016324782757847</v>
      </c>
      <c r="BE4" s="13">
        <f>BD4*VLOOKUP('Données projet'!$B$11,Paramètres!$A$1:$I$89,3,0)*VLOOKUP('Données projet'!$B$11,Paramètres!$A$1:$I$89,5,0)</f>
        <v>1.9015570663439298</v>
      </c>
      <c r="BF4" s="13">
        <f>EXP(-1.0587+0.8836*LN(BE4)+0.284)</f>
        <v>0.81315455339418119</v>
      </c>
      <c r="BG4" s="20">
        <f t="shared" ref="BG4:BG67" si="7">(BE4+BF4)*0.475*44/12</f>
        <v>4.7281227377105433</v>
      </c>
      <c r="BH4" s="59">
        <f t="shared" ref="BH4:BH67" si="8">BG4+(AY4+AZ4)*44/12</f>
        <v>262.61701162659938</v>
      </c>
      <c r="BI4" s="59">
        <f ca="1">AVERAGE(OFFSET($BH$3,0,0,'Données projet'!$E$11+1,1))-AVERAGE(OFFSET($H$3,0,0,'Données projet'!$E$11+1,1))</f>
        <v>436.23918637269577</v>
      </c>
      <c r="BJ4" s="59">
        <f>$BJ$3</f>
        <v>611.43967996341894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1.0439615443779955</v>
      </c>
      <c r="CA4" s="13">
        <f>EXP(-1.0587+0.8836*LN(BZ4)+0.284)</f>
        <v>0.478698084995758</v>
      </c>
      <c r="CB4" s="20">
        <f t="shared" ref="CB4:CB67" si="10">(BZ4+CA4)*0.475*44/12</f>
        <v>2.6519655211592874</v>
      </c>
      <c r="CC4" s="59">
        <f t="shared" ref="CC4:CC67" si="11">CB4+(BT4+BU4)*44/12</f>
        <v>260.54085441004815</v>
      </c>
      <c r="CD4" s="59">
        <f ca="1">AVERAGE(OFFSET($CC$3,0,0,'Données projet'!$E$12+1,1))-AVERAGE(OFFSET($H$3,0,0,'Données projet'!$E$12+1,1))</f>
        <v>507.79096804746297</v>
      </c>
      <c r="CE4" s="59">
        <f>$CE$3</f>
        <v>312.67921212138998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318.97291652986593</v>
      </c>
      <c r="T5" s="59">
        <f t="shared" ref="T5:T68" si="34">$T$3</f>
        <v>338.19413170988122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3.85</v>
      </c>
      <c r="AI5" s="13">
        <f>IF('Données projet'!$A$62&gt;35,AI4+AH5-AQ4,IF(A5&lt;'Données projet'!$A$62,$AF$205^A5,IF(A5='Données projet'!$A$62,'Données projet'!$B$62,AI4+AH5-AQ4)))</f>
        <v>1.8942632304705684</v>
      </c>
      <c r="AJ5" s="13">
        <f>AI5*VLOOKUP('Données projet'!$B$10,Paramètres!$A$1:$I$89,3,0)*VLOOKUP('Données projet'!$B$10,Paramètres!$A$1:$I$89,5,0)</f>
        <v>1.1327694118214</v>
      </c>
      <c r="AK5" s="13">
        <f t="shared" ref="AK5:AK68" si="35">EXP(-1.0587+0.8836*LN(AJ5)+0.284)</f>
        <v>0.51450725843982192</v>
      </c>
      <c r="AL5" s="20">
        <f t="shared" si="4"/>
        <v>2.8690068673716276</v>
      </c>
      <c r="AM5" s="59">
        <f t="shared" si="5"/>
        <v>261.98011797848278</v>
      </c>
      <c r="AN5" s="59">
        <f ca="1">AVERAGE(OFFSET($AM$3,0,0,'Données projet'!$E$10+1,1))-AVERAGE(OFFSET($H$3,0,0,'Données projet'!$E$10+1,1))</f>
        <v>318.97291652986593</v>
      </c>
      <c r="AO5" s="59">
        <f t="shared" ref="AO5:AO68" si="36">$AO$3</f>
        <v>338.19413170988122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8.1999999999999993</v>
      </c>
      <c r="BD5" s="12">
        <f>IF('Données projet'!$A$88&gt;35,BD4+BC5-BL4,IF(A5&lt;'Données projet'!$A$88,$BA$205^A5,IF(A5='Données projet'!$A$88,'Données projet'!$B$88,BD4+BC5-BL4)))</f>
        <v>4.4168590737436171</v>
      </c>
      <c r="BE5" s="13">
        <f>BD5*VLOOKUP('Données projet'!$B$11,Paramètres!$A$1:$I$89,3,0)*VLOOKUP('Données projet'!$B$11,Paramètres!$A$1:$I$89,5,0)</f>
        <v>3.9963740899232247</v>
      </c>
      <c r="BF5" s="13">
        <f t="shared" ref="BF5:BF68" si="37">EXP(-1.0587+0.8836*LN(BE5)+0.284)</f>
        <v>1.567415948479109</v>
      </c>
      <c r="BG5" s="20">
        <f t="shared" si="7"/>
        <v>9.6902676502173968</v>
      </c>
      <c r="BH5" s="59">
        <f t="shared" si="8"/>
        <v>268.80137876132852</v>
      </c>
      <c r="BI5" s="59">
        <f ca="1">AVERAGE(OFFSET($BH$3,0,0,'Données projet'!$E$11+1,1))-AVERAGE(OFFSET($H$3,0,0,'Données projet'!$E$11+1,1))</f>
        <v>436.23918637269577</v>
      </c>
      <c r="BJ5" s="59">
        <f t="shared" ref="BJ5:BJ68" si="38">$BJ$3</f>
        <v>611.43967996341894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1.2937508382479692</v>
      </c>
      <c r="CA5" s="13">
        <f t="shared" ref="CA5:CA68" si="39">EXP(-1.0587+0.8836*LN(BZ5)+0.284)</f>
        <v>0.57860648124254321</v>
      </c>
      <c r="CB5" s="20">
        <f t="shared" si="10"/>
        <v>3.2610223314459752</v>
      </c>
      <c r="CC5" s="59">
        <f t="shared" si="11"/>
        <v>262.37213344255713</v>
      </c>
      <c r="CD5" s="59">
        <f ca="1">AVERAGE(OFFSET($CC$3,0,0,'Données projet'!$E$12+1,1))-AVERAGE(OFFSET($H$3,0,0,'Données projet'!$E$12+1,1))</f>
        <v>507.79096804746297</v>
      </c>
      <c r="CE5" s="59">
        <f t="shared" ref="CE5:CE68" si="40">$CE$3</f>
        <v>312.67921212138998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318.97291652986593</v>
      </c>
      <c r="T6" s="59">
        <f t="shared" si="34"/>
        <v>338.19413170988122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3.85</v>
      </c>
      <c r="AI6" s="13">
        <f>IF('Données projet'!$A$62&gt;35,AI5+AH6-AQ5,IF(A6&lt;'Données projet'!$A$62,$AF$205^A6,IF(A6='Données projet'!$A$62,'Données projet'!$B$62,AI5+AH6-AQ5)))</f>
        <v>2.6071168342033646</v>
      </c>
      <c r="AJ6" s="13">
        <f>AI6*VLOOKUP('Données projet'!$B$10,Paramètres!$A$1:$I$89,3,0)*VLOOKUP('Données projet'!$B$10,Paramètres!$A$1:$I$89,5,0)</f>
        <v>1.5590558668536121</v>
      </c>
      <c r="AK6" s="13">
        <f t="shared" si="35"/>
        <v>0.68228314619764829</v>
      </c>
      <c r="AL6" s="20">
        <f t="shared" si="4"/>
        <v>3.9036654477309445</v>
      </c>
      <c r="AM6" s="59">
        <f t="shared" si="5"/>
        <v>264.23699878106424</v>
      </c>
      <c r="AN6" s="59">
        <f ca="1">AVERAGE(OFFSET($AM$3,0,0,'Données projet'!$E$10+1,1))-AVERAGE(OFFSET($H$3,0,0,'Données projet'!$E$10+1,1))</f>
        <v>318.97291652986593</v>
      </c>
      <c r="AO6" s="59">
        <f t="shared" si="36"/>
        <v>338.19413170988122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8.1999999999999993</v>
      </c>
      <c r="BD6" s="12">
        <f>IF('Données projet'!$A$88&gt;35,BD5+BC6-BL5,IF(A6&lt;'Données projet'!$A$88,$BA$205^A6,IF(A6='Données projet'!$A$88,'Données projet'!$B$88,BD5+BC6-BL5)))</f>
        <v>9.282614481346684</v>
      </c>
      <c r="BE6" s="13">
        <f>BD6*VLOOKUP('Données projet'!$B$11,Paramètres!$A$1:$I$89,3,0)*VLOOKUP('Données projet'!$B$11,Paramètres!$A$1:$I$89,5,0)</f>
        <v>8.3989095827224798</v>
      </c>
      <c r="BF6" s="13">
        <f t="shared" si="37"/>
        <v>3.0213109491815406</v>
      </c>
      <c r="BG6" s="20">
        <f t="shared" si="7"/>
        <v>19.890217426399502</v>
      </c>
      <c r="BH6" s="59">
        <f t="shared" si="8"/>
        <v>280.2235507597328</v>
      </c>
      <c r="BI6" s="59">
        <f ca="1">AVERAGE(OFFSET($BH$3,0,0,'Données projet'!$E$11+1,1))-AVERAGE(OFFSET($H$3,0,0,'Données projet'!$E$11+1,1))</f>
        <v>436.23918637269577</v>
      </c>
      <c r="BJ6" s="59">
        <f t="shared" si="38"/>
        <v>611.43967996341894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1.6033073636487132</v>
      </c>
      <c r="CA6" s="13">
        <f t="shared" si="39"/>
        <v>0.69936661672428513</v>
      </c>
      <c r="CB6" s="20">
        <f t="shared" si="10"/>
        <v>4.0104905158163051</v>
      </c>
      <c r="CC6" s="59">
        <f t="shared" si="11"/>
        <v>264.3438238491496</v>
      </c>
      <c r="CD6" s="59">
        <f ca="1">AVERAGE(OFFSET($CC$3,0,0,'Données projet'!$E$12+1,1))-AVERAGE(OFFSET($H$3,0,0,'Données projet'!$E$12+1,1))</f>
        <v>507.79096804746297</v>
      </c>
      <c r="CE6" s="59">
        <f t="shared" si="40"/>
        <v>312.67921212138998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318.97291652986593</v>
      </c>
      <c r="T7" s="59">
        <f t="shared" si="34"/>
        <v>338.19413170988122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3.85</v>
      </c>
      <c r="AI7" s="13">
        <f>IF('Données projet'!$A$62&gt;35,AI6+AH7-AQ6,IF(A7&lt;'Données projet'!$A$62,$AF$205^A7,IF(A7='Données projet'!$A$62,'Données projet'!$B$62,AI6+AH7-AQ6)))</f>
        <v>3.5882331863127939</v>
      </c>
      <c r="AJ7" s="13">
        <f>AI7*VLOOKUP('Données projet'!$B$10,Paramètres!$A$1:$I$89,3,0)*VLOOKUP('Données projet'!$B$10,Paramètres!$A$1:$I$89,5,0)</f>
        <v>2.1457634454150507</v>
      </c>
      <c r="AK7" s="13">
        <f t="shared" si="35"/>
        <v>0.90476914358207983</v>
      </c>
      <c r="AL7" s="20">
        <f t="shared" si="4"/>
        <v>5.3130109258366689</v>
      </c>
      <c r="AM7" s="59">
        <f t="shared" si="5"/>
        <v>266.86856648139224</v>
      </c>
      <c r="AN7" s="59">
        <f ca="1">AVERAGE(OFFSET($AM$3,0,0,'Données projet'!$E$10+1,1))-AVERAGE(OFFSET($H$3,0,0,'Données projet'!$E$10+1,1))</f>
        <v>318.97291652986593</v>
      </c>
      <c r="AO7" s="59">
        <f t="shared" si="36"/>
        <v>338.19413170988122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8.1999999999999993</v>
      </c>
      <c r="BD7" s="12">
        <f>IF('Données projet'!$A$88&gt;35,BD6+BC7-BL6,IF(A7&lt;'Données projet'!$A$88,$BA$205^A7,IF(A7='Données projet'!$A$88,'Données projet'!$B$88,BD6+BC7-BL6)))</f>
        <v>19.508644077311324</v>
      </c>
      <c r="BE7" s="13">
        <f>BD7*VLOOKUP('Données projet'!$B$11,Paramètres!$A$1:$I$89,3,0)*VLOOKUP('Données projet'!$B$11,Paramètres!$A$1:$I$89,5,0)</f>
        <v>17.651421161151287</v>
      </c>
      <c r="BF7" s="13">
        <f t="shared" si="37"/>
        <v>5.8238018188481702</v>
      </c>
      <c r="BG7" s="20">
        <f t="shared" si="7"/>
        <v>40.886013356832393</v>
      </c>
      <c r="BH7" s="59">
        <f t="shared" si="8"/>
        <v>302.44156891238794</v>
      </c>
      <c r="BI7" s="59">
        <f ca="1">AVERAGE(OFFSET($BH$3,0,0,'Données projet'!$E$11+1,1))-AVERAGE(OFFSET($H$3,0,0,'Données projet'!$E$11+1,1))</f>
        <v>436.23918637269577</v>
      </c>
      <c r="BJ7" s="59">
        <f t="shared" si="38"/>
        <v>611.43967996341894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1.9869316612859962</v>
      </c>
      <c r="CA7" s="13">
        <f t="shared" si="39"/>
        <v>0.84533042826968274</v>
      </c>
      <c r="CB7" s="20">
        <f t="shared" si="10"/>
        <v>4.9328564726428068</v>
      </c>
      <c r="CC7" s="59">
        <f t="shared" si="11"/>
        <v>266.48841202819835</v>
      </c>
      <c r="CD7" s="59">
        <f ca="1">AVERAGE(OFFSET($CC$3,0,0,'Données projet'!$E$12+1,1))-AVERAGE(OFFSET($H$3,0,0,'Données projet'!$E$12+1,1))</f>
        <v>507.79096804746297</v>
      </c>
      <c r="CE7" s="59">
        <f t="shared" si="40"/>
        <v>312.67921212138998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318.97291652986593</v>
      </c>
      <c r="T8" s="59">
        <f t="shared" si="34"/>
        <v>338.19413170988122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3.85</v>
      </c>
      <c r="AI8" s="13">
        <f>IF('Données projet'!$A$62&gt;35,AI7+AH8-AQ7,IF(A8&lt;'Données projet'!$A$62,$AF$205^A8,IF(A8='Données projet'!$A$62,'Données projet'!$B$62,AI7+AH8-AQ7)))</f>
        <v>4.938565556572267</v>
      </c>
      <c r="AJ8" s="13">
        <f>AI8*VLOOKUP('Données projet'!$B$10,Paramètres!$A$1:$I$89,3,0)*VLOOKUP('Données projet'!$B$10,Paramètres!$A$1:$I$89,5,0)</f>
        <v>2.9532622028302162</v>
      </c>
      <c r="AK8" s="13">
        <f t="shared" si="35"/>
        <v>1.1998056931939969</v>
      </c>
      <c r="AL8" s="20">
        <f t="shared" si="4"/>
        <v>7.2332599189088382</v>
      </c>
      <c r="AM8" s="59">
        <f t="shared" si="5"/>
        <v>270.01103769668663</v>
      </c>
      <c r="AN8" s="59">
        <f ca="1">AVERAGE(OFFSET($AM$3,0,0,'Données projet'!$E$10+1,1))-AVERAGE(OFFSET($H$3,0,0,'Données projet'!$E$10+1,1))</f>
        <v>318.97291652986593</v>
      </c>
      <c r="AO8" s="59">
        <f t="shared" si="36"/>
        <v>338.19413170988122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41</v>
      </c>
      <c r="BB8" s="12">
        <f>VLOOKUP(A8,'Données projet'!$A$87:$I$107,9,0)</f>
        <v>8.1999999999999993</v>
      </c>
      <c r="BC8" s="12">
        <f t="array" ref="BC8">INDEX(BB:BB,MIN(IF(ISNUMBER(BB8:BB204),ROW(BB8:BB204),"")))</f>
        <v>8.1999999999999993</v>
      </c>
      <c r="BD8" s="12">
        <f>IF('Données projet'!$A$88&gt;35,BD7+BC8-BL7,IF(A8&lt;'Données projet'!$A$88,$BA$205^A8,IF(A8='Données projet'!$A$88,'Données projet'!$B$88,BD7+BC8-BL7)))</f>
        <v>41</v>
      </c>
      <c r="BE8" s="13">
        <f>BD8*VLOOKUP('Données projet'!$B$11,Paramètres!$A$1:$I$89,3,0)*VLOOKUP('Données projet'!$B$11,Paramètres!$A$1:$I$89,5,0)</f>
        <v>37.096799999999995</v>
      </c>
      <c r="BF8" s="13">
        <f t="shared" si="37"/>
        <v>11.225811641270189</v>
      </c>
      <c r="BG8" s="20">
        <f t="shared" si="7"/>
        <v>84.161881941878903</v>
      </c>
      <c r="BH8" s="59">
        <f t="shared" si="8"/>
        <v>346.93965971965667</v>
      </c>
      <c r="BI8" s="59">
        <f ca="1">AVERAGE(OFFSET($BH$3,0,0,'Données projet'!$E$11+1,1))-AVERAGE(OFFSET($H$3,0,0,'Données projet'!$E$11+1,1))</f>
        <v>436.23918637269577</v>
      </c>
      <c r="BJ8" s="59">
        <f t="shared" si="38"/>
        <v>611.43967996341894</v>
      </c>
      <c r="BK8" s="15">
        <f>IF(ISNA(VLOOKUP(A8,'Données projet'!$A$87:$I$107,3,0)),0,VLOOKUP(A8,'Données projet'!$A$87:$I$107,3,0))</f>
        <v>1</v>
      </c>
      <c r="BL8" s="15">
        <f>IF(ISNA(VLOOKUP(A8,'Données projet'!$A$87:$I$107,4,0)),0,VLOOKUP(A8,'Données projet'!$A$87:$I$107,4,0))</f>
        <v>8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2.462345970666743</v>
      </c>
      <c r="CA8" s="13">
        <f t="shared" si="39"/>
        <v>1.021758139251189</v>
      </c>
      <c r="CB8" s="20">
        <f t="shared" si="10"/>
        <v>6.068147991440398</v>
      </c>
      <c r="CC8" s="59">
        <f t="shared" si="11"/>
        <v>268.84592576921818</v>
      </c>
      <c r="CD8" s="59">
        <f ca="1">AVERAGE(OFFSET($CC$3,0,0,'Données projet'!$E$12+1,1))-AVERAGE(OFFSET($H$3,0,0,'Données projet'!$E$12+1,1))</f>
        <v>507.79096804746297</v>
      </c>
      <c r="CE8" s="59">
        <f t="shared" si="40"/>
        <v>312.67921212138998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318.97291652986593</v>
      </c>
      <c r="T9" s="59">
        <f t="shared" si="34"/>
        <v>338.19413170988122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3.85</v>
      </c>
      <c r="AI9" s="13">
        <f>IF('Données projet'!$A$62&gt;35,AI8+AH9-AQ8,IF(A9&lt;'Données projet'!$A$62,$AF$205^A9,IF(A9='Données projet'!$A$62,'Données projet'!$B$62,AI8+AH9-AQ8)))</f>
        <v>6.7970581871865736</v>
      </c>
      <c r="AJ9" s="13">
        <f>AI9*VLOOKUP('Données projet'!$B$10,Paramètres!$A$1:$I$89,3,0)*VLOOKUP('Données projet'!$B$10,Paramètres!$A$1:$I$89,5,0)</f>
        <v>4.0646407959375717</v>
      </c>
      <c r="AK9" s="13">
        <f t="shared" si="35"/>
        <v>1.5910508350466677</v>
      </c>
      <c r="AL9" s="20">
        <f t="shared" si="4"/>
        <v>9.8503295906308832</v>
      </c>
      <c r="AM9" s="59">
        <f t="shared" si="5"/>
        <v>273.85032959063091</v>
      </c>
      <c r="AN9" s="59">
        <f ca="1">AVERAGE(OFFSET($AM$3,0,0,'Données projet'!$E$10+1,1))-AVERAGE(OFFSET($H$3,0,0,'Données projet'!$E$10+1,1))</f>
        <v>318.97291652986593</v>
      </c>
      <c r="AO9" s="59">
        <f t="shared" si="36"/>
        <v>338.19413170988122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17.600000000000001</v>
      </c>
      <c r="BD9" s="12">
        <f>IF('Données projet'!$A$88&gt;35,BD8+BC9-BL8,IF(A9&lt;'Données projet'!$A$88,$BA$205^A9,IF(A9='Données projet'!$A$88,'Données projet'!$B$88,BD8+BC9-BL8)))</f>
        <v>50.6</v>
      </c>
      <c r="BE9" s="13">
        <f>BD9*VLOOKUP('Données projet'!$B$11,Paramètres!$A$1:$I$89,3,0)*VLOOKUP('Données projet'!$B$11,Paramètres!$A$1:$I$89,5,0)</f>
        <v>45.782879999999999</v>
      </c>
      <c r="BF9" s="13">
        <f t="shared" si="37"/>
        <v>13.519148289060759</v>
      </c>
      <c r="BG9" s="20">
        <f t="shared" si="7"/>
        <v>103.28436593678082</v>
      </c>
      <c r="BH9" s="59">
        <f t="shared" si="8"/>
        <v>367.28436593678083</v>
      </c>
      <c r="BI9" s="59">
        <f ca="1">AVERAGE(OFFSET($BH$3,0,0,'Données projet'!$E$11+1,1))-AVERAGE(OFFSET($H$3,0,0,'Données projet'!$E$11+1,1))</f>
        <v>436.23918637269577</v>
      </c>
      <c r="BJ9" s="59">
        <f t="shared" si="38"/>
        <v>611.43967996341894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3.0515129419874016</v>
      </c>
      <c r="CA9" s="13">
        <f t="shared" si="39"/>
        <v>1.2350078267772846</v>
      </c>
      <c r="CB9" s="20">
        <f t="shared" si="10"/>
        <v>7.4656903389318279</v>
      </c>
      <c r="CC9" s="59">
        <f t="shared" si="11"/>
        <v>271.46569033893184</v>
      </c>
      <c r="CD9" s="59">
        <f ca="1">AVERAGE(OFFSET($CC$3,0,0,'Données projet'!$E$12+1,1))-AVERAGE(OFFSET($H$3,0,0,'Données projet'!$E$12+1,1))</f>
        <v>507.79096804746297</v>
      </c>
      <c r="CE9" s="59">
        <f t="shared" si="40"/>
        <v>312.67921212138998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318.97291652986593</v>
      </c>
      <c r="T10" s="59">
        <f t="shared" si="34"/>
        <v>338.19413170988122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3.85</v>
      </c>
      <c r="AI10" s="13">
        <f>IF('Données projet'!$A$62&gt;35,AI9+AH10-AQ9,IF(A10&lt;'Données projet'!$A$62,$AF$205^A10,IF(A10='Données projet'!$A$62,'Données projet'!$B$62,AI9+AH10-AQ9)))</f>
        <v>9.3549431450832632</v>
      </c>
      <c r="AJ10" s="13">
        <f>AI10*VLOOKUP('Données projet'!$B$10,Paramètres!$A$1:$I$89,3,0)*VLOOKUP('Données projet'!$B$10,Paramètres!$A$1:$I$89,5,0)</f>
        <v>5.5942560007597919</v>
      </c>
      <c r="AK10" s="13">
        <f t="shared" si="35"/>
        <v>2.1098772693466379</v>
      </c>
      <c r="AL10" s="20">
        <f t="shared" si="4"/>
        <v>13.418032112102033</v>
      </c>
      <c r="AM10" s="59">
        <f t="shared" si="5"/>
        <v>278.64025433432425</v>
      </c>
      <c r="AN10" s="59">
        <f ca="1">AVERAGE(OFFSET($AM$3,0,0,'Données projet'!$E$10+1,1))-AVERAGE(OFFSET($H$3,0,0,'Données projet'!$E$10+1,1))</f>
        <v>318.97291652986593</v>
      </c>
      <c r="AO10" s="59">
        <f t="shared" si="36"/>
        <v>338.19413170988122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17.600000000000001</v>
      </c>
      <c r="BD10" s="12">
        <f>IF('Données projet'!$A$88&gt;35,BD9+BC10-BL9,IF(A10&lt;'Données projet'!$A$88,$BA$205^A10,IF(A10='Données projet'!$A$88,'Données projet'!$B$88,BD9+BC10-BL9)))</f>
        <v>68.2</v>
      </c>
      <c r="BE10" s="13">
        <f>BD10*VLOOKUP('Données projet'!$B$11,Paramètres!$A$1:$I$89,3,0)*VLOOKUP('Données projet'!$B$11,Paramètres!$A$1:$I$89,5,0)</f>
        <v>61.707360000000001</v>
      </c>
      <c r="BF10" s="13">
        <f t="shared" si="37"/>
        <v>17.599235734890414</v>
      </c>
      <c r="BG10" s="20">
        <f t="shared" si="7"/>
        <v>138.12565423826746</v>
      </c>
      <c r="BH10" s="59">
        <f t="shared" si="8"/>
        <v>403.34787646048972</v>
      </c>
      <c r="BI10" s="59">
        <f ca="1">AVERAGE(OFFSET($BH$3,0,0,'Données projet'!$E$11+1,1))-AVERAGE(OFFSET($H$3,0,0,'Données projet'!$E$11+1,1))</f>
        <v>436.23918637269577</v>
      </c>
      <c r="BJ10" s="59">
        <f t="shared" si="38"/>
        <v>611.43967996341894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3.7816502416982529</v>
      </c>
      <c r="CA10" s="13">
        <f t="shared" si="39"/>
        <v>1.492764553183741</v>
      </c>
      <c r="CB10" s="20">
        <f t="shared" si="10"/>
        <v>9.1862724344194735</v>
      </c>
      <c r="CC10" s="59">
        <f t="shared" si="11"/>
        <v>274.40849465664172</v>
      </c>
      <c r="CD10" s="59">
        <f ca="1">AVERAGE(OFFSET($CC$3,0,0,'Données projet'!$E$12+1,1))-AVERAGE(OFFSET($H$3,0,0,'Données projet'!$E$12+1,1))</f>
        <v>507.79096804746297</v>
      </c>
      <c r="CE10" s="59">
        <f t="shared" si="40"/>
        <v>312.67921212138998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318.97291652986593</v>
      </c>
      <c r="T11" s="59">
        <f t="shared" si="34"/>
        <v>338.19413170988122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3.85</v>
      </c>
      <c r="AI11" s="13">
        <f>IF('Données projet'!$A$62&gt;35,AI10+AH11-AQ10,IF(A11&lt;'Données projet'!$A$62,$AF$205^A11,IF(A11='Données projet'!$A$62,'Données projet'!$B$62,AI10+AH11-AQ10)))</f>
        <v>12.875417399356465</v>
      </c>
      <c r="AJ11" s="13">
        <f>AI11*VLOOKUP('Données projet'!$B$10,Paramètres!$A$1:$I$89,3,0)*VLOOKUP('Données projet'!$B$10,Paramètres!$A$1:$I$89,5,0)</f>
        <v>7.6994996048151672</v>
      </c>
      <c r="AK11" s="13">
        <f t="shared" si="35"/>
        <v>2.7978880332727099</v>
      </c>
      <c r="AL11" s="20">
        <f t="shared" si="4"/>
        <v>18.282950136336385</v>
      </c>
      <c r="AM11" s="59">
        <f t="shared" si="5"/>
        <v>284.72739458078087</v>
      </c>
      <c r="AN11" s="59">
        <f ca="1">AVERAGE(OFFSET($AM$3,0,0,'Données projet'!$E$10+1,1))-AVERAGE(OFFSET($H$3,0,0,'Données projet'!$E$10+1,1))</f>
        <v>318.97291652986593</v>
      </c>
      <c r="AO11" s="59">
        <f t="shared" si="36"/>
        <v>338.19413170988122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17.600000000000001</v>
      </c>
      <c r="BD11" s="12">
        <f>IF('Données projet'!$A$88&gt;35,BD10+BC11-BL10,IF(A11&lt;'Données projet'!$A$88,$BA$205^A11,IF(A11='Données projet'!$A$88,'Données projet'!$B$88,BD10+BC11-BL10)))</f>
        <v>85.800000000000011</v>
      </c>
      <c r="BE11" s="13">
        <f>BD11*VLOOKUP('Données projet'!$B$11,Paramètres!$A$1:$I$89,3,0)*VLOOKUP('Données projet'!$B$11,Paramètres!$A$1:$I$89,5,0)</f>
        <v>77.631840000000011</v>
      </c>
      <c r="BF11" s="13">
        <f t="shared" si="37"/>
        <v>21.557147963295233</v>
      </c>
      <c r="BG11" s="20">
        <f t="shared" si="7"/>
        <v>172.75415403607255</v>
      </c>
      <c r="BH11" s="59">
        <f t="shared" si="8"/>
        <v>439.19859848051703</v>
      </c>
      <c r="BI11" s="59">
        <f ca="1">AVERAGE(OFFSET($BH$3,0,0,'Données projet'!$E$11+1,1))-AVERAGE(OFFSET($H$3,0,0,'Données projet'!$E$11+1,1))</f>
        <v>436.23918637269577</v>
      </c>
      <c r="BJ11" s="59">
        <f t="shared" si="38"/>
        <v>611.43967996341894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4.6864879233389463</v>
      </c>
      <c r="CA11" s="13">
        <f t="shared" si="39"/>
        <v>1.8043173192324258</v>
      </c>
      <c r="CB11" s="20">
        <f t="shared" si="10"/>
        <v>11.304819130811806</v>
      </c>
      <c r="CC11" s="59">
        <f t="shared" si="11"/>
        <v>277.74926357525624</v>
      </c>
      <c r="CD11" s="59">
        <f ca="1">AVERAGE(OFFSET($CC$3,0,0,'Données projet'!$E$12+1,1))-AVERAGE(OFFSET($H$3,0,0,'Données projet'!$E$12+1,1))</f>
        <v>507.79096804746297</v>
      </c>
      <c r="CE11" s="59">
        <f t="shared" si="40"/>
        <v>312.67921212138998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318.97291652986593</v>
      </c>
      <c r="T12" s="59">
        <f t="shared" si="34"/>
        <v>338.19413170988122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3.85</v>
      </c>
      <c r="AI12" s="13">
        <f>IF('Données projet'!$A$62&gt;35,AI11+AH12-AQ11,IF(A12&lt;'Données projet'!$A$62,$AF$205^A12,IF(A12='Données projet'!$A$62,'Données projet'!$B$62,AI11+AH12-AQ11)))</f>
        <v>17.720724822873922</v>
      </c>
      <c r="AJ12" s="13">
        <f>AI12*VLOOKUP('Données projet'!$B$10,Paramètres!$A$1:$I$89,3,0)*VLOOKUP('Données projet'!$B$10,Paramètres!$A$1:$I$89,5,0)</f>
        <v>10.596993444078608</v>
      </c>
      <c r="AK12" s="13">
        <f t="shared" si="35"/>
        <v>3.7102525158512041</v>
      </c>
      <c r="AL12" s="20">
        <f t="shared" si="4"/>
        <v>24.918453380211091</v>
      </c>
      <c r="AM12" s="59">
        <f t="shared" si="5"/>
        <v>292.58512004687776</v>
      </c>
      <c r="AN12" s="59">
        <f ca="1">AVERAGE(OFFSET($AM$3,0,0,'Données projet'!$E$10+1,1))-AVERAGE(OFFSET($H$3,0,0,'Données projet'!$E$10+1,1))</f>
        <v>318.97291652986593</v>
      </c>
      <c r="AO12" s="59">
        <f t="shared" si="36"/>
        <v>338.19413170988122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17.600000000000001</v>
      </c>
      <c r="BD12" s="12">
        <f>IF('Données projet'!$A$88&gt;35,BD11+BC12-BL11,IF(A12&lt;'Données projet'!$A$88,$BA$205^A12,IF(A12='Données projet'!$A$88,'Données projet'!$B$88,BD11+BC12-BL11)))</f>
        <v>103.4</v>
      </c>
      <c r="BE12" s="13">
        <f>BD12*VLOOKUP('Données projet'!$B$11,Paramètres!$A$1:$I$89,3,0)*VLOOKUP('Données projet'!$B$11,Paramètres!$A$1:$I$89,5,0)</f>
        <v>93.556319999999999</v>
      </c>
      <c r="BF12" s="13">
        <f t="shared" si="37"/>
        <v>25.420979659258073</v>
      </c>
      <c r="BG12" s="20">
        <f t="shared" si="7"/>
        <v>207.21879690654114</v>
      </c>
      <c r="BH12" s="59">
        <f t="shared" si="8"/>
        <v>474.88546357320786</v>
      </c>
      <c r="BI12" s="59">
        <f ca="1">AVERAGE(OFFSET($BH$3,0,0,'Données projet'!$E$11+1,1))-AVERAGE(OFFSET($H$3,0,0,'Données projet'!$E$11+1,1))</f>
        <v>436.23918637269577</v>
      </c>
      <c r="BJ12" s="59">
        <f t="shared" si="38"/>
        <v>611.43967996341894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5.8078266502347455</v>
      </c>
      <c r="CA12" s="13">
        <f t="shared" si="39"/>
        <v>2.1808938198181922</v>
      </c>
      <c r="CB12" s="20">
        <f t="shared" si="10"/>
        <v>13.913688152008866</v>
      </c>
      <c r="CC12" s="59">
        <f t="shared" si="11"/>
        <v>281.58035481867557</v>
      </c>
      <c r="CD12" s="59">
        <f ca="1">AVERAGE(OFFSET($CC$3,0,0,'Données projet'!$E$12+1,1))-AVERAGE(OFFSET($H$3,0,0,'Données projet'!$E$12+1,1))</f>
        <v>507.79096804746297</v>
      </c>
      <c r="CE12" s="59">
        <f t="shared" si="40"/>
        <v>312.67921212138998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318.97291652986593</v>
      </c>
      <c r="T13" s="59">
        <f t="shared" si="34"/>
        <v>338.19413170988122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3.85</v>
      </c>
      <c r="AI13" s="13">
        <f>IF('Données projet'!$A$62&gt;35,AI12+AH13-AQ12,IF(A13&lt;'Données projet'!$A$62,$AF$205^A13,IF(A13='Données projet'!$A$62,'Données projet'!$B$62,AI12+AH13-AQ12)))</f>
        <v>24.389429756561942</v>
      </c>
      <c r="AJ13" s="13">
        <f>AI13*VLOOKUP('Données projet'!$B$10,Paramètres!$A$1:$I$89,3,0)*VLOOKUP('Données projet'!$B$10,Paramètres!$A$1:$I$89,5,0)</f>
        <v>14.584878994424042</v>
      </c>
      <c r="AK13" s="13">
        <f t="shared" si="35"/>
        <v>4.9201303153214564</v>
      </c>
      <c r="AL13" s="20">
        <f t="shared" si="4"/>
        <v>33.971224547806742</v>
      </c>
      <c r="AM13" s="59">
        <f t="shared" si="5"/>
        <v>302.8601134366956</v>
      </c>
      <c r="AN13" s="59">
        <f ca="1">AVERAGE(OFFSET($AM$3,0,0,'Données projet'!$E$10+1,1))-AVERAGE(OFFSET($H$3,0,0,'Données projet'!$E$10+1,1))</f>
        <v>318.97291652986593</v>
      </c>
      <c r="AO13" s="59">
        <f t="shared" si="36"/>
        <v>338.19413170988122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121</v>
      </c>
      <c r="BB13" s="12">
        <f>VLOOKUP(A13,'Données projet'!$A$87:$I$107,9,0)</f>
        <v>17.600000000000001</v>
      </c>
      <c r="BC13" s="12">
        <f t="array" ref="BC13">INDEX(BB:BB,MIN(IF(ISNUMBER(BB13:BB209),ROW(BB13:BB209),"")))</f>
        <v>17.600000000000001</v>
      </c>
      <c r="BD13" s="12">
        <f>IF('Données projet'!$A$88&gt;35,BD12+BC13-BL12,IF(A13&lt;'Données projet'!$A$88,$BA$205^A13,IF(A13='Données projet'!$A$88,'Données projet'!$B$88,BD12+BC13-BL12)))</f>
        <v>121</v>
      </c>
      <c r="BE13" s="13">
        <f>BD13*VLOOKUP('Données projet'!$B$11,Paramètres!$A$1:$I$89,3,0)*VLOOKUP('Données projet'!$B$11,Paramètres!$A$1:$I$89,5,0)</f>
        <v>109.48079999999999</v>
      </c>
      <c r="BF13" s="13">
        <f t="shared" si="37"/>
        <v>29.208623339903898</v>
      </c>
      <c r="BG13" s="20">
        <f t="shared" si="7"/>
        <v>241.5507456503326</v>
      </c>
      <c r="BH13" s="59">
        <f t="shared" si="8"/>
        <v>510.43963453922146</v>
      </c>
      <c r="BI13" s="59">
        <f ca="1">AVERAGE(OFFSET($BH$3,0,0,'Données projet'!$E$11+1,1))-AVERAGE(OFFSET($H$3,0,0,'Données projet'!$E$11+1,1))</f>
        <v>436.23918637269577</v>
      </c>
      <c r="BJ13" s="59">
        <f t="shared" si="38"/>
        <v>611.43967996341894</v>
      </c>
      <c r="BK13" s="15">
        <f>IF(ISNA(VLOOKUP(A13,'Données projet'!$A$87:$I$107,3,0)),0,VLOOKUP(A13,'Données projet'!$A$87:$I$107,3,0))</f>
        <v>2</v>
      </c>
      <c r="BL13" s="15">
        <f>IF(ISNA(VLOOKUP(A13,'Données projet'!$A$87:$I$107,4,0)),0,VLOOKUP(A13,'Données projet'!$A$87:$I$107,4,0))</f>
        <v>37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7.1974687550554899</v>
      </c>
      <c r="CA13" s="13">
        <f t="shared" si="39"/>
        <v>2.6360650660630816</v>
      </c>
      <c r="CB13" s="20">
        <f t="shared" si="10"/>
        <v>17.126738071781514</v>
      </c>
      <c r="CC13" s="59">
        <f t="shared" si="11"/>
        <v>286.01562696067037</v>
      </c>
      <c r="CD13" s="59">
        <f ca="1">AVERAGE(OFFSET($CC$3,0,0,'Données projet'!$E$12+1,1))-AVERAGE(OFFSET($H$3,0,0,'Données projet'!$E$12+1,1))</f>
        <v>507.79096804746297</v>
      </c>
      <c r="CE13" s="59">
        <f t="shared" si="40"/>
        <v>312.67921212138998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318.97291652986593</v>
      </c>
      <c r="T14" s="59">
        <f t="shared" si="34"/>
        <v>338.19413170988122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3.85</v>
      </c>
      <c r="AI14" s="13">
        <f>IF('Données projet'!$A$62&gt;35,AI13+AH14-AQ13,IF(A14&lt;'Données projet'!$A$62,$AF$205^A14,IF(A14='Données projet'!$A$62,'Données projet'!$B$62,AI13+AH14-AQ13)))</f>
        <v>33.567717449257145</v>
      </c>
      <c r="AJ14" s="13">
        <f>AI14*VLOOKUP('Données projet'!$B$10,Paramètres!$A$1:$I$89,3,0)*VLOOKUP('Données projet'!$B$10,Paramètres!$A$1:$I$89,5,0)</f>
        <v>20.073495034655775</v>
      </c>
      <c r="AK14" s="13">
        <f t="shared" si="35"/>
        <v>6.5245376740055958</v>
      </c>
      <c r="AL14" s="20">
        <f t="shared" si="4"/>
        <v>46.324906967585214</v>
      </c>
      <c r="AM14" s="59">
        <f t="shared" si="5"/>
        <v>316.43601807869635</v>
      </c>
      <c r="AN14" s="59">
        <f ca="1">AVERAGE(OFFSET($AM$3,0,0,'Données projet'!$E$10+1,1))-AVERAGE(OFFSET($H$3,0,0,'Données projet'!$E$10+1,1))</f>
        <v>318.97291652986593</v>
      </c>
      <c r="AO14" s="59">
        <f t="shared" si="36"/>
        <v>338.19413170988122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17</v>
      </c>
      <c r="BD14" s="12">
        <f>IF('Données projet'!$A$88&gt;35,BD13+BC14-BL13,IF(A14&lt;'Données projet'!$A$88,$BA$205^A14,IF(A14='Données projet'!$A$88,'Données projet'!$B$88,BD13+BC14-BL13)))</f>
        <v>101</v>
      </c>
      <c r="BE14" s="13">
        <f>BD14*VLOOKUP('Données projet'!$B$11,Paramètres!$A$1:$I$89,3,0)*VLOOKUP('Données projet'!$B$11,Paramètres!$A$1:$I$89,5,0)</f>
        <v>91.384799999999998</v>
      </c>
      <c r="BF14" s="13">
        <f t="shared" si="37"/>
        <v>24.898908025894642</v>
      </c>
      <c r="BG14" s="20">
        <f t="shared" si="7"/>
        <v>202.52745814509981</v>
      </c>
      <c r="BH14" s="59">
        <f t="shared" si="8"/>
        <v>472.63856925621099</v>
      </c>
      <c r="BI14" s="59">
        <f ca="1">AVERAGE(OFFSET($BH$3,0,0,'Données projet'!$E$11+1,1))-AVERAGE(OFFSET($H$3,0,0,'Données projet'!$E$11+1,1))</f>
        <v>436.23918637269577</v>
      </c>
      <c r="BJ14" s="59">
        <f t="shared" si="38"/>
        <v>611.43967996341894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8.9196113451330703</v>
      </c>
      <c r="CA14" s="13">
        <f t="shared" si="39"/>
        <v>3.186234455512118</v>
      </c>
      <c r="CB14" s="20">
        <f t="shared" si="10"/>
        <v>21.084348102790369</v>
      </c>
      <c r="CC14" s="59">
        <f t="shared" si="11"/>
        <v>291.19545921390153</v>
      </c>
      <c r="CD14" s="59">
        <f ca="1">AVERAGE(OFFSET($CC$3,0,0,'Données projet'!$E$12+1,1))-AVERAGE(OFFSET($H$3,0,0,'Données projet'!$E$12+1,1))</f>
        <v>507.79096804746297</v>
      </c>
      <c r="CE14" s="59">
        <f t="shared" si="40"/>
        <v>312.67921212138998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318.97291652986593</v>
      </c>
      <c r="T15" s="59">
        <f t="shared" si="34"/>
        <v>338.19413170988122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46.2</v>
      </c>
      <c r="AG15" s="12">
        <f>VLOOKUP(A15,'Données projet'!$A$61:$I$81,9,0)</f>
        <v>3.85</v>
      </c>
      <c r="AH15" s="12">
        <f t="array" ref="AH15">INDEX(AG:AG,MIN(IF(ISNUMBER(AG15:AG211),ROW(AG15:AG211),"")))</f>
        <v>3.85</v>
      </c>
      <c r="AI15" s="13">
        <f>IF('Données projet'!$A$62&gt;35,AI14+AH15-AQ14,IF(A15&lt;'Données projet'!$A$62,$AF$205^A15,IF(A15='Données projet'!$A$62,'Données projet'!$B$62,AI14+AH15-AQ14)))</f>
        <v>46.2</v>
      </c>
      <c r="AJ15" s="13">
        <f>AI15*VLOOKUP('Données projet'!$B$10,Paramètres!$A$1:$I$89,3,0)*VLOOKUP('Données projet'!$B$10,Paramètres!$A$1:$I$89,5,0)</f>
        <v>27.627600000000005</v>
      </c>
      <c r="AK15" s="13">
        <f t="shared" si="35"/>
        <v>8.6521269013861506</v>
      </c>
      <c r="AL15" s="20">
        <f t="shared" si="4"/>
        <v>63.187191019914216</v>
      </c>
      <c r="AM15" s="59">
        <f t="shared" si="5"/>
        <v>334.52052435324754</v>
      </c>
      <c r="AN15" s="59">
        <f ca="1">AVERAGE(OFFSET($AM$3,0,0,'Données projet'!$E$10+1,1))-AVERAGE(OFFSET($H$3,0,0,'Données projet'!$E$10+1,1))</f>
        <v>318.97291652986593</v>
      </c>
      <c r="AO15" s="59">
        <f t="shared" si="36"/>
        <v>338.19413170988122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17</v>
      </c>
      <c r="BD15" s="12">
        <f>IF('Données projet'!$A$88&gt;35,BD14+BC15-BL14,IF(A15&lt;'Données projet'!$A$88,$BA$205^A15,IF(A15='Données projet'!$A$88,'Données projet'!$B$88,BD14+BC15-BL14)))</f>
        <v>118</v>
      </c>
      <c r="BE15" s="13">
        <f>BD15*VLOOKUP('Données projet'!$B$11,Paramètres!$A$1:$I$89,3,0)*VLOOKUP('Données projet'!$B$11,Paramètres!$A$1:$I$89,5,0)</f>
        <v>106.7664</v>
      </c>
      <c r="BF15" s="13">
        <f t="shared" si="37"/>
        <v>28.5678052620942</v>
      </c>
      <c r="BG15" s="20">
        <f t="shared" si="7"/>
        <v>235.70707416481403</v>
      </c>
      <c r="BH15" s="59">
        <f t="shared" si="8"/>
        <v>507.04040749814737</v>
      </c>
      <c r="BI15" s="59">
        <f ca="1">AVERAGE(OFFSET($BH$3,0,0,'Données projet'!$E$11+1,1))-AVERAGE(OFFSET($H$3,0,0,'Données projet'!$E$11+1,1))</f>
        <v>436.23918637269577</v>
      </c>
      <c r="BJ15" s="59">
        <f t="shared" si="38"/>
        <v>611.43967996341894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11.053812007498347</v>
      </c>
      <c r="CA15" s="13">
        <f t="shared" si="39"/>
        <v>3.8512289154738402</v>
      </c>
      <c r="CB15" s="20">
        <f t="shared" si="10"/>
        <v>25.959612940843225</v>
      </c>
      <c r="CC15" s="59">
        <f t="shared" si="11"/>
        <v>297.29294627417653</v>
      </c>
      <c r="CD15" s="59">
        <f ca="1">AVERAGE(OFFSET($CC$3,0,0,'Données projet'!$E$12+1,1))-AVERAGE(OFFSET($H$3,0,0,'Données projet'!$E$12+1,1))</f>
        <v>507.79096804746297</v>
      </c>
      <c r="CE15" s="59">
        <f t="shared" si="40"/>
        <v>312.67921212138998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318.97291652986593</v>
      </c>
      <c r="T16" s="59">
        <f t="shared" si="34"/>
        <v>338.19413170988122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15.324999999999999</v>
      </c>
      <c r="AI16" s="13">
        <f>IF('Données projet'!$A$62&gt;35,AI15+AH16-AQ15,IF(A16&lt;'Données projet'!$A$62,$AF$205^A16,IF(A16='Données projet'!$A$62,'Données projet'!$B$62,AI15+AH16-AQ15)))</f>
        <v>61.525000000000006</v>
      </c>
      <c r="AJ16" s="13">
        <f>AI16*VLOOKUP('Données projet'!$B$10,Paramètres!$A$1:$I$89,3,0)*VLOOKUP('Données projet'!$B$10,Paramètres!$A$1:$I$89,5,0)</f>
        <v>36.791950000000007</v>
      </c>
      <c r="AK16" s="13">
        <f t="shared" si="35"/>
        <v>11.144260225190576</v>
      </c>
      <c r="AL16" s="20">
        <f t="shared" si="4"/>
        <v>83.488899475540265</v>
      </c>
      <c r="AM16" s="59">
        <f t="shared" si="5"/>
        <v>356.04445503109582</v>
      </c>
      <c r="AN16" s="59">
        <f ca="1">AVERAGE(OFFSET($AM$3,0,0,'Données projet'!$E$10+1,1))-AVERAGE(OFFSET($H$3,0,0,'Données projet'!$E$10+1,1))</f>
        <v>318.97291652986593</v>
      </c>
      <c r="AO16" s="59">
        <f t="shared" si="36"/>
        <v>338.19413170988122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17</v>
      </c>
      <c r="BD16" s="12">
        <f>IF('Données projet'!$A$88&gt;35,BD15+BC16-BL15,IF(A16&lt;'Données projet'!$A$88,$BA$205^A16,IF(A16='Données projet'!$A$88,'Données projet'!$B$88,BD15+BC16-BL15)))</f>
        <v>135</v>
      </c>
      <c r="BE16" s="13">
        <f>BD16*VLOOKUP('Données projet'!$B$11,Paramètres!$A$1:$I$89,3,0)*VLOOKUP('Données projet'!$B$11,Paramètres!$A$1:$I$89,5,0)</f>
        <v>122.148</v>
      </c>
      <c r="BF16" s="13">
        <f t="shared" si="37"/>
        <v>32.175466547071615</v>
      </c>
      <c r="BG16" s="20">
        <f t="shared" si="7"/>
        <v>268.78003756948306</v>
      </c>
      <c r="BH16" s="59">
        <f t="shared" si="8"/>
        <v>541.3355931250386</v>
      </c>
      <c r="BI16" s="59">
        <f ca="1">AVERAGE(OFFSET($BH$3,0,0,'Données projet'!$E$11+1,1))-AVERAGE(OFFSET($H$3,0,0,'Données projet'!$E$11+1,1))</f>
        <v>436.23918637269577</v>
      </c>
      <c r="BJ16" s="59">
        <f t="shared" si="38"/>
        <v>611.43967996341894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13.698664119909786</v>
      </c>
      <c r="CA16" s="13">
        <f t="shared" si="39"/>
        <v>4.6550134230463893</v>
      </c>
      <c r="CB16" s="20">
        <f t="shared" si="10"/>
        <v>31.965988387315338</v>
      </c>
      <c r="CC16" s="59">
        <f t="shared" si="11"/>
        <v>304.52154394287089</v>
      </c>
      <c r="CD16" s="59">
        <f ca="1">AVERAGE(OFFSET($CC$3,0,0,'Données projet'!$E$12+1,1))-AVERAGE(OFFSET($H$3,0,0,'Données projet'!$E$12+1,1))</f>
        <v>507.79096804746297</v>
      </c>
      <c r="CE16" s="59">
        <f t="shared" si="40"/>
        <v>312.67921212138998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318.97291652986593</v>
      </c>
      <c r="T17" s="59">
        <f t="shared" si="34"/>
        <v>338.19413170988122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15.324999999999999</v>
      </c>
      <c r="AI17" s="13">
        <f>IF('Données projet'!$A$62&gt;35,AI16+AH17-AQ16,IF(A17&lt;'Données projet'!$A$62,$AF$205^A17,IF(A17='Données projet'!$A$62,'Données projet'!$B$62,AI16+AH17-AQ16)))</f>
        <v>76.850000000000009</v>
      </c>
      <c r="AJ17" s="13">
        <f>AI17*VLOOKUP('Données projet'!$B$10,Paramètres!$A$1:$I$89,3,0)*VLOOKUP('Données projet'!$B$10,Paramètres!$A$1:$I$89,5,0)</f>
        <v>45.956300000000013</v>
      </c>
      <c r="AK17" s="13">
        <f t="shared" si="35"/>
        <v>13.564386507579055</v>
      </c>
      <c r="AL17" s="20">
        <f t="shared" si="4"/>
        <v>103.66519566736689</v>
      </c>
      <c r="AM17" s="59">
        <f t="shared" si="5"/>
        <v>377.44297344514467</v>
      </c>
      <c r="AN17" s="59">
        <f ca="1">AVERAGE(OFFSET($AM$3,0,0,'Données projet'!$E$10+1,1))-AVERAGE(OFFSET($H$3,0,0,'Données projet'!$E$10+1,1))</f>
        <v>318.97291652986593</v>
      </c>
      <c r="AO17" s="59">
        <f t="shared" si="36"/>
        <v>338.19413170988122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17</v>
      </c>
      <c r="BD17" s="12">
        <f>IF('Données projet'!$A$88&gt;35,BD16+BC17-BL16,IF(A17&lt;'Données projet'!$A$88,$BA$205^A17,IF(A17='Données projet'!$A$88,'Données projet'!$B$88,BD16+BC17-BL16)))</f>
        <v>152</v>
      </c>
      <c r="BE17" s="13">
        <f>BD17*VLOOKUP('Données projet'!$B$11,Paramètres!$A$1:$I$89,3,0)*VLOOKUP('Données projet'!$B$11,Paramètres!$A$1:$I$89,5,0)</f>
        <v>137.52959999999999</v>
      </c>
      <c r="BF17" s="13">
        <f t="shared" si="37"/>
        <v>35.730486489800548</v>
      </c>
      <c r="BG17" s="20">
        <f t="shared" si="7"/>
        <v>301.76131730306923</v>
      </c>
      <c r="BH17" s="59">
        <f t="shared" si="8"/>
        <v>575.53909508084701</v>
      </c>
      <c r="BI17" s="59">
        <f ca="1">AVERAGE(OFFSET($BH$3,0,0,'Données projet'!$E$11+1,1))-AVERAGE(OFFSET($H$3,0,0,'Données projet'!$E$11+1,1))</f>
        <v>436.23918637269577</v>
      </c>
      <c r="BJ17" s="59">
        <f t="shared" si="38"/>
        <v>611.43967996341894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16.976351555717539</v>
      </c>
      <c r="CA17" s="13">
        <f t="shared" si="39"/>
        <v>5.6265546516016363</v>
      </c>
      <c r="CB17" s="20">
        <f t="shared" si="10"/>
        <v>39.366728311080898</v>
      </c>
      <c r="CC17" s="59">
        <f t="shared" si="11"/>
        <v>313.14450608885869</v>
      </c>
      <c r="CD17" s="59">
        <f ca="1">AVERAGE(OFFSET($CC$3,0,0,'Données projet'!$E$12+1,1))-AVERAGE(OFFSET($H$3,0,0,'Données projet'!$E$12+1,1))</f>
        <v>507.79096804746297</v>
      </c>
      <c r="CE17" s="59">
        <f t="shared" si="40"/>
        <v>312.67921212138998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318.97291652986593</v>
      </c>
      <c r="T18" s="59">
        <f t="shared" si="34"/>
        <v>338.19413170988122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15.324999999999999</v>
      </c>
      <c r="AI18" s="13">
        <f>IF('Données projet'!$A$62&gt;35,AI17+AH18-AQ17,IF(A18&lt;'Données projet'!$A$62,$AF$205^A18,IF(A18='Données projet'!$A$62,'Données projet'!$B$62,AI17+AH18-AQ17)))</f>
        <v>92.175000000000011</v>
      </c>
      <c r="AJ18" s="13">
        <f>AI18*VLOOKUP('Données projet'!$B$10,Paramètres!$A$1:$I$89,3,0)*VLOOKUP('Données projet'!$B$10,Paramètres!$A$1:$I$89,5,0)</f>
        <v>55.120650000000012</v>
      </c>
      <c r="AK18" s="13">
        <f t="shared" si="35"/>
        <v>15.928592691029031</v>
      </c>
      <c r="AL18" s="20">
        <f t="shared" si="4"/>
        <v>123.74409768687555</v>
      </c>
      <c r="AM18" s="59">
        <f t="shared" si="5"/>
        <v>398.74409768687553</v>
      </c>
      <c r="AN18" s="59">
        <f ca="1">AVERAGE(OFFSET($AM$3,0,0,'Données projet'!$E$10+1,1))-AVERAGE(OFFSET($H$3,0,0,'Données projet'!$E$10+1,1))</f>
        <v>318.97291652986593</v>
      </c>
      <c r="AO18" s="59">
        <f t="shared" si="36"/>
        <v>338.19413170988122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169</v>
      </c>
      <c r="BB18" s="12">
        <f>VLOOKUP(A18,'Données projet'!$A$87:$I$107,9,0)</f>
        <v>17</v>
      </c>
      <c r="BC18" s="12">
        <f t="array" ref="BC18">INDEX(BB:BB,MIN(IF(ISNUMBER(BB18:BB214),ROW(BB18:BB214),"")))</f>
        <v>17</v>
      </c>
      <c r="BD18" s="12">
        <f>IF('Données projet'!$A$88&gt;35,BD17+BC18-BL17,IF(A18&lt;'Données projet'!$A$88,$BA$205^A18,IF(A18='Données projet'!$A$88,'Données projet'!$B$88,BD17+BC18-BL17)))</f>
        <v>169</v>
      </c>
      <c r="BE18" s="13">
        <f>BD18*VLOOKUP('Données projet'!$B$11,Paramètres!$A$1:$I$89,3,0)*VLOOKUP('Données projet'!$B$11,Paramètres!$A$1:$I$89,5,0)</f>
        <v>152.91120000000001</v>
      </c>
      <c r="BF18" s="13">
        <f t="shared" si="37"/>
        <v>39.239424324197543</v>
      </c>
      <c r="BG18" s="20">
        <f t="shared" si="7"/>
        <v>334.66233736464409</v>
      </c>
      <c r="BH18" s="59">
        <f t="shared" si="8"/>
        <v>609.66233736464415</v>
      </c>
      <c r="BI18" s="59">
        <f ca="1">AVERAGE(OFFSET($BH$3,0,0,'Données projet'!$E$11+1,1))-AVERAGE(OFFSET($H$3,0,0,'Données projet'!$E$11+1,1))</f>
        <v>436.23918637269577</v>
      </c>
      <c r="BJ18" s="59">
        <f t="shared" si="38"/>
        <v>611.43967996341894</v>
      </c>
      <c r="BK18" s="15">
        <f>IF(ISNA(VLOOKUP(A18,'Données projet'!$A$87:$I$107,3,0)),0,VLOOKUP(A18,'Données projet'!$A$87:$I$107,3,0))</f>
        <v>3</v>
      </c>
      <c r="BL18" s="15">
        <f>IF(ISNA(VLOOKUP(A18,'Données projet'!$A$87:$I$107,4,0)),0,VLOOKUP(A18,'Données projet'!$A$87:$I$107,4,0))</f>
        <v>29</v>
      </c>
      <c r="BM18" s="16">
        <f>IF(ISNA(VLOOKUP(A18,'Données projet'!$A$87:$I$107,5,0)),0%,VLOOKUP(A18,'Données projet'!$A$87:$I$107,5,0)*VLOOKUP('Données projet'!$B$11,Paramètres!$A$1:$I$89,7,0))</f>
        <v>0.3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8.7019975147922946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8.7019975147922946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21.03829319564419</v>
      </c>
      <c r="CA18" s="13">
        <f t="shared" si="39"/>
        <v>6.8008648676982615</v>
      </c>
      <c r="CB18" s="20">
        <f t="shared" si="10"/>
        <v>48.486533626988098</v>
      </c>
      <c r="CC18" s="59">
        <f t="shared" si="11"/>
        <v>323.48653362698809</v>
      </c>
      <c r="CD18" s="59">
        <f ca="1">AVERAGE(OFFSET($CC$3,0,0,'Données projet'!$E$12+1,1))-AVERAGE(OFFSET($H$3,0,0,'Données projet'!$E$12+1,1))</f>
        <v>507.79096804746297</v>
      </c>
      <c r="CE18" s="59">
        <f t="shared" si="40"/>
        <v>312.67921212138998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318.97291652986593</v>
      </c>
      <c r="T19" s="59">
        <f t="shared" si="34"/>
        <v>338.19413170988122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107.5</v>
      </c>
      <c r="AG19" s="12">
        <f>VLOOKUP(A19,'Données projet'!$A$61:$I$81,9,0)</f>
        <v>15.324999999999999</v>
      </c>
      <c r="AH19" s="12">
        <f t="array" ref="AH19">INDEX(AG:AG,MIN(IF(ISNUMBER(AG19:AG215),ROW(AG19:AG215),"")))</f>
        <v>15.324999999999999</v>
      </c>
      <c r="AI19" s="13">
        <f>IF('Données projet'!$A$62&gt;35,AI18+AH19-AQ18,IF(A19&lt;'Données projet'!$A$62,$AF$205^A19,IF(A19='Données projet'!$A$62,'Données projet'!$B$62,AI18+AH19-AQ18)))</f>
        <v>107.50000000000001</v>
      </c>
      <c r="AJ19" s="13">
        <f>AI19*VLOOKUP('Données projet'!$B$10,Paramètres!$A$1:$I$89,3,0)*VLOOKUP('Données projet'!$B$10,Paramètres!$A$1:$I$89,5,0)</f>
        <v>64.285000000000011</v>
      </c>
      <c r="AK19" s="13">
        <f t="shared" si="35"/>
        <v>18.247263773944024</v>
      </c>
      <c r="AL19" s="20">
        <f t="shared" si="4"/>
        <v>143.74369273961921</v>
      </c>
      <c r="AM19" s="59">
        <f t="shared" si="5"/>
        <v>419.96591496184146</v>
      </c>
      <c r="AN19" s="59">
        <f ca="1">AVERAGE(OFFSET($AM$3,0,0,'Données projet'!$E$10+1,1))-AVERAGE(OFFSET($H$3,0,0,'Données projet'!$E$10+1,1))</f>
        <v>318.97291652986593</v>
      </c>
      <c r="AO19" s="59">
        <f t="shared" si="36"/>
        <v>338.19413170988122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8.4634364240103324</v>
      </c>
      <c r="AX19" s="21">
        <f t="shared" si="6"/>
        <v>8.4634364240103324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15.4</v>
      </c>
      <c r="BD19" s="12">
        <f>IF('Données projet'!$A$88&gt;35,BD18+BC19-BL18,IF(A19&lt;'Données projet'!$A$88,$BA$205^A19,IF(A19='Données projet'!$A$88,'Données projet'!$B$88,BD18+BC19-BL18)))</f>
        <v>155.4</v>
      </c>
      <c r="BE19" s="13">
        <f>BD19*VLOOKUP('Données projet'!$B$11,Paramètres!$A$1:$I$89,3,0)*VLOOKUP('Données projet'!$B$11,Paramètres!$A$1:$I$89,5,0)</f>
        <v>140.60592</v>
      </c>
      <c r="BF19" s="13">
        <f t="shared" si="37"/>
        <v>36.435778350352258</v>
      </c>
      <c r="BG19" s="20">
        <f t="shared" si="7"/>
        <v>308.34762462686348</v>
      </c>
      <c r="BH19" s="59">
        <f t="shared" si="8"/>
        <v>584.56984684908571</v>
      </c>
      <c r="BI19" s="59">
        <f ca="1">AVERAGE(OFFSET($BH$3,0,0,'Données projet'!$E$11+1,1))-AVERAGE(OFFSET($H$3,0,0,'Données projet'!$E$11+1,1))</f>
        <v>436.23918637269577</v>
      </c>
      <c r="BJ19" s="59">
        <f t="shared" si="38"/>
        <v>611.43967996341894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8.5313566512216106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8.5313566512216106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26.072138005225284</v>
      </c>
      <c r="CA19" s="13">
        <f t="shared" si="39"/>
        <v>8.2202636982343371</v>
      </c>
      <c r="CB19" s="20">
        <f t="shared" si="10"/>
        <v>59.725932966858835</v>
      </c>
      <c r="CC19" s="59">
        <f t="shared" si="11"/>
        <v>335.94815518908104</v>
      </c>
      <c r="CD19" s="59">
        <f ca="1">AVERAGE(OFFSET($CC$3,0,0,'Données projet'!$E$12+1,1))-AVERAGE(OFFSET($H$3,0,0,'Données projet'!$E$12+1,1))</f>
        <v>507.79096804746297</v>
      </c>
      <c r="CE19" s="59">
        <f t="shared" si="40"/>
        <v>312.67921212138998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318.97291652986593</v>
      </c>
      <c r="T20" s="59">
        <f t="shared" si="34"/>
        <v>338.19413170988122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17.200000000000003</v>
      </c>
      <c r="AI20" s="13">
        <f>IF('Données projet'!$A$62&gt;35,AI19+AH20-AQ19,IF(A20&lt;'Données projet'!$A$62,$AF$205^A20,IF(A20='Données projet'!$A$62,'Données projet'!$B$62,AI19+AH20-AQ19)))</f>
        <v>99.700000000000017</v>
      </c>
      <c r="AJ20" s="13">
        <f>AI20*VLOOKUP('Données projet'!$B$10,Paramètres!$A$1:$I$89,3,0)*VLOOKUP('Données projet'!$B$10,Paramètres!$A$1:$I$89,5,0)</f>
        <v>59.62060000000001</v>
      </c>
      <c r="AK20" s="13">
        <f t="shared" si="35"/>
        <v>17.072309403636297</v>
      </c>
      <c r="AL20" s="20">
        <f t="shared" si="4"/>
        <v>133.57348387799991</v>
      </c>
      <c r="AM20" s="59">
        <f t="shared" si="5"/>
        <v>411.01792832244439</v>
      </c>
      <c r="AN20" s="59">
        <f ca="1">AVERAGE(OFFSET($AM$3,0,0,'Données projet'!$E$10+1,1))-AVERAGE(OFFSET($H$3,0,0,'Données projet'!$E$10+1,1))</f>
        <v>318.97291652986593</v>
      </c>
      <c r="AO20" s="59">
        <f t="shared" si="36"/>
        <v>338.19413170988122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5.9845532875589305</v>
      </c>
      <c r="AX20" s="21">
        <f t="shared" si="6"/>
        <v>5.9845532875589305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15.4</v>
      </c>
      <c r="BD20" s="12">
        <f>IF('Données projet'!$A$88&gt;35,BD19+BC20-BL19,IF(A20&lt;'Données projet'!$A$88,$BA$205^A20,IF(A20='Données projet'!$A$88,'Données projet'!$B$88,BD19+BC20-BL19)))</f>
        <v>170.8</v>
      </c>
      <c r="BE20" s="13">
        <f>BD20*VLOOKUP('Données projet'!$B$11,Paramètres!$A$1:$I$89,3,0)*VLOOKUP('Données projet'!$B$11,Paramètres!$A$1:$I$89,5,0)</f>
        <v>154.53984</v>
      </c>
      <c r="BF20" s="13">
        <f t="shared" si="37"/>
        <v>39.608483410353038</v>
      </c>
      <c r="BG20" s="20">
        <f t="shared" si="7"/>
        <v>338.14166327303155</v>
      </c>
      <c r="BH20" s="59">
        <f t="shared" si="8"/>
        <v>615.58610771747601</v>
      </c>
      <c r="BI20" s="59">
        <f ca="1">AVERAGE(OFFSET($BH$3,0,0,'Données projet'!$E$11+1,1))-AVERAGE(OFFSET($H$3,0,0,'Données projet'!$E$11+1,1))</f>
        <v>436.23918637269577</v>
      </c>
      <c r="BJ20" s="59">
        <f t="shared" si="38"/>
        <v>611.43967996341894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8.3640619509048975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8.3640619509048975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32.310433828550828</v>
      </c>
      <c r="CA20" s="13">
        <f t="shared" si="39"/>
        <v>9.9359032392271498</v>
      </c>
      <c r="CB20" s="20">
        <f t="shared" si="10"/>
        <v>73.579037059713301</v>
      </c>
      <c r="CC20" s="59">
        <f t="shared" si="11"/>
        <v>351.02348150415776</v>
      </c>
      <c r="CD20" s="59">
        <f ca="1">AVERAGE(OFFSET($CC$3,0,0,'Données projet'!$E$12+1,1))-AVERAGE(OFFSET($H$3,0,0,'Données projet'!$E$12+1,1))</f>
        <v>507.79096804746297</v>
      </c>
      <c r="CE20" s="59">
        <f t="shared" si="40"/>
        <v>312.67921212138998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318.97291652986593</v>
      </c>
      <c r="T21" s="59">
        <f t="shared" si="34"/>
        <v>338.19413170988122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17.200000000000003</v>
      </c>
      <c r="AI21" s="13">
        <f>IF('Données projet'!$A$62&gt;35,AI20+AH21-AQ20,IF(A21&lt;'Données projet'!$A$62,$AF$205^A21,IF(A21='Données projet'!$A$62,'Données projet'!$B$62,AI20+AH21-AQ20)))</f>
        <v>116.90000000000002</v>
      </c>
      <c r="AJ21" s="13">
        <f>AI21*VLOOKUP('Données projet'!$B$10,Paramètres!$A$1:$I$89,3,0)*VLOOKUP('Données projet'!$B$10,Paramètres!$A$1:$I$89,5,0)</f>
        <v>69.906200000000013</v>
      </c>
      <c r="AK21" s="13">
        <f t="shared" si="35"/>
        <v>19.650161907904558</v>
      </c>
      <c r="AL21" s="20">
        <f t="shared" si="4"/>
        <v>155.9773303229338</v>
      </c>
      <c r="AM21" s="59">
        <f t="shared" si="5"/>
        <v>434.64399698960051</v>
      </c>
      <c r="AN21" s="59">
        <f ca="1">AVERAGE(OFFSET($AM$3,0,0,'Données projet'!$E$10+1,1))-AVERAGE(OFFSET($H$3,0,0,'Données projet'!$E$10+1,1))</f>
        <v>318.97291652986593</v>
      </c>
      <c r="AO21" s="59">
        <f t="shared" si="36"/>
        <v>338.19413170988122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4.2317182120051662</v>
      </c>
      <c r="AX21" s="21">
        <f t="shared" si="6"/>
        <v>4.2317182120051662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15.4</v>
      </c>
      <c r="BD21" s="12">
        <f>IF('Données projet'!$A$88&gt;35,BD20+BC21-BL20,IF(A21&lt;'Données projet'!$A$88,$BA$205^A21,IF(A21='Données projet'!$A$88,'Données projet'!$B$88,BD20+BC21-BL20)))</f>
        <v>186.20000000000002</v>
      </c>
      <c r="BE21" s="13">
        <f>BD21*VLOOKUP('Données projet'!$B$11,Paramètres!$A$1:$I$89,3,0)*VLOOKUP('Données projet'!$B$11,Paramètres!$A$1:$I$89,5,0)</f>
        <v>168.47376000000003</v>
      </c>
      <c r="BF21" s="13">
        <f t="shared" si="37"/>
        <v>42.748017388135018</v>
      </c>
      <c r="BG21" s="20">
        <f t="shared" si="7"/>
        <v>367.87792895100188</v>
      </c>
      <c r="BH21" s="59">
        <f t="shared" si="8"/>
        <v>646.54459561766862</v>
      </c>
      <c r="BI21" s="59">
        <f ca="1">AVERAGE(OFFSET($BH$3,0,0,'Données projet'!$E$11+1,1))-AVERAGE(OFFSET($H$3,0,0,'Données projet'!$E$11+1,1))</f>
        <v>436.23918637269577</v>
      </c>
      <c r="BJ21" s="59">
        <f t="shared" si="38"/>
        <v>611.43967996341894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8.2000477976217034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8.2000477976217034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40.041370369393334</v>
      </c>
      <c r="CA21" s="13">
        <f t="shared" si="39"/>
        <v>12.009611467876571</v>
      </c>
      <c r="CB21" s="20">
        <f t="shared" si="10"/>
        <v>90.655460033245092</v>
      </c>
      <c r="CC21" s="59">
        <f t="shared" si="11"/>
        <v>369.32212669991179</v>
      </c>
      <c r="CD21" s="59">
        <f ca="1">AVERAGE(OFFSET($CC$3,0,0,'Données projet'!$E$12+1,1))-AVERAGE(OFFSET($H$3,0,0,'Données projet'!$E$12+1,1))</f>
        <v>507.79096804746297</v>
      </c>
      <c r="CE21" s="59">
        <f t="shared" si="40"/>
        <v>312.67921212138998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318.97291652986593</v>
      </c>
      <c r="T22" s="59">
        <f t="shared" si="34"/>
        <v>338.19413170988122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17.200000000000003</v>
      </c>
      <c r="AI22" s="13">
        <f>IF('Données projet'!$A$62&gt;35,AI21+AH22-AQ21,IF(A22&lt;'Données projet'!$A$62,$AF$205^A22,IF(A22='Données projet'!$A$62,'Données projet'!$B$62,AI21+AH22-AQ21)))</f>
        <v>134.10000000000002</v>
      </c>
      <c r="AJ22" s="13">
        <f>AI22*VLOOKUP('Données projet'!$B$10,Paramètres!$A$1:$I$89,3,0)*VLOOKUP('Données projet'!$B$10,Paramètres!$A$1:$I$89,5,0)</f>
        <v>80.191800000000015</v>
      </c>
      <c r="AK22" s="13">
        <f t="shared" si="35"/>
        <v>22.184073687979513</v>
      </c>
      <c r="AL22" s="20">
        <f t="shared" si="4"/>
        <v>178.30464667323099</v>
      </c>
      <c r="AM22" s="59">
        <f t="shared" si="5"/>
        <v>458.19353556211985</v>
      </c>
      <c r="AN22" s="59">
        <f ca="1">AVERAGE(OFFSET($AM$3,0,0,'Données projet'!$E$10+1,1))-AVERAGE(OFFSET($H$3,0,0,'Données projet'!$E$10+1,1))</f>
        <v>318.97291652986593</v>
      </c>
      <c r="AO22" s="59">
        <f t="shared" si="36"/>
        <v>338.19413170988122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2.9922766437794652</v>
      </c>
      <c r="AX22" s="21">
        <f t="shared" si="6"/>
        <v>2.9922766437794652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15.4</v>
      </c>
      <c r="BD22" s="12">
        <f>IF('Données projet'!$A$88&gt;35,BD21+BC22-BL21,IF(A22&lt;'Données projet'!$A$88,$BA$205^A22,IF(A22='Données projet'!$A$88,'Données projet'!$B$88,BD21+BC22-BL21)))</f>
        <v>201.60000000000002</v>
      </c>
      <c r="BE22" s="13">
        <f>BD22*VLOOKUP('Données projet'!$B$11,Paramètres!$A$1:$I$89,3,0)*VLOOKUP('Données projet'!$B$11,Paramètres!$A$1:$I$89,5,0)</f>
        <v>182.40768000000003</v>
      </c>
      <c r="BF22" s="13">
        <f t="shared" si="37"/>
        <v>45.857435663065921</v>
      </c>
      <c r="BG22" s="20">
        <f t="shared" si="7"/>
        <v>397.56174311317318</v>
      </c>
      <c r="BH22" s="59">
        <f t="shared" si="8"/>
        <v>677.45063200206209</v>
      </c>
      <c r="BI22" s="59">
        <f ca="1">AVERAGE(OFFSET($BH$3,0,0,'Données projet'!$E$11+1,1))-AVERAGE(OFFSET($H$3,0,0,'Données projet'!$E$11+1,1))</f>
        <v>436.23918637269577</v>
      </c>
      <c r="BJ22" s="59">
        <f t="shared" si="38"/>
        <v>611.43967996341894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8.0392498618456383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8.0392498618456383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49.622092651760646</v>
      </c>
      <c r="CA22" s="13">
        <f t="shared" si="39"/>
        <v>14.516120390537463</v>
      </c>
      <c r="CB22" s="20">
        <f t="shared" si="10"/>
        <v>111.70738771533587</v>
      </c>
      <c r="CC22" s="59">
        <f t="shared" si="11"/>
        <v>391.59627660422473</v>
      </c>
      <c r="CD22" s="59">
        <f ca="1">AVERAGE(OFFSET($CC$3,0,0,'Données projet'!$E$12+1,1))-AVERAGE(OFFSET($H$3,0,0,'Données projet'!$E$12+1,1))</f>
        <v>507.79096804746297</v>
      </c>
      <c r="CE22" s="59">
        <f t="shared" si="40"/>
        <v>312.67921212138998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318.97291652986593</v>
      </c>
      <c r="T23" s="59">
        <f t="shared" si="34"/>
        <v>338.19413170988122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151.30000000000001</v>
      </c>
      <c r="AG23" s="12">
        <f>VLOOKUP(A23,'Données projet'!$A$61:$I$81,9,0)</f>
        <v>17.200000000000003</v>
      </c>
      <c r="AH23" s="12">
        <f t="array" ref="AH23">INDEX(AG:AG,MIN(IF(ISNUMBER(AG23:AG219),ROW(AG23:AG219),"")))</f>
        <v>17.200000000000003</v>
      </c>
      <c r="AI23" s="13">
        <f>IF('Données projet'!$A$62&gt;35,AI22+AH23-AQ22,IF(A23&lt;'Données projet'!$A$62,$AF$205^A23,IF(A23='Données projet'!$A$62,'Données projet'!$B$62,AI22+AH23-AQ22)))</f>
        <v>151.30000000000001</v>
      </c>
      <c r="AJ23" s="13">
        <f>AI23*VLOOKUP('Données projet'!$B$10,Paramètres!$A$1:$I$89,3,0)*VLOOKUP('Données projet'!$B$10,Paramètres!$A$1:$I$89,5,0)</f>
        <v>90.477400000000017</v>
      </c>
      <c r="AK23" s="13">
        <f t="shared" si="35"/>
        <v>24.680326903050478</v>
      </c>
      <c r="AL23" s="20">
        <f t="shared" si="4"/>
        <v>200.5663743561463</v>
      </c>
      <c r="AM23" s="59">
        <f t="shared" si="5"/>
        <v>481.67748546725744</v>
      </c>
      <c r="AN23" s="59">
        <f ca="1">AVERAGE(OFFSET($AM$3,0,0,'Données projet'!$E$10+1,1))-AVERAGE(OFFSET($H$3,0,0,'Données projet'!$E$10+1,1))</f>
        <v>318.97291652986593</v>
      </c>
      <c r="AO23" s="59">
        <f t="shared" si="36"/>
        <v>338.19413170988122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33.700000000000003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2.4060350560221795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15.8063138654817</v>
      </c>
      <c r="AX23" s="21">
        <f t="shared" si="6"/>
        <v>18.212348921503878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217</v>
      </c>
      <c r="BB23" s="12">
        <f>VLOOKUP(A23,'Données projet'!$A$87:$I$107,9,0)</f>
        <v>15.4</v>
      </c>
      <c r="BC23" s="12">
        <f t="array" ref="BC23">INDEX(BB:BB,MIN(IF(ISNUMBER(BB23:BB219),ROW(BB23:BB219),"")))</f>
        <v>15.4</v>
      </c>
      <c r="BD23" s="12">
        <f>IF('Données projet'!$A$88&gt;35,BD22+BC23-BL22,IF(A23&lt;'Données projet'!$A$88,$BA$205^A23,IF(A23='Données projet'!$A$88,'Données projet'!$B$88,BD22+BC23-BL22)))</f>
        <v>217.00000000000003</v>
      </c>
      <c r="BE23" s="13">
        <f>BD23*VLOOKUP('Données projet'!$B$11,Paramètres!$A$1:$I$89,3,0)*VLOOKUP('Données projet'!$B$11,Paramètres!$A$1:$I$89,5,0)</f>
        <v>196.34160000000003</v>
      </c>
      <c r="BF23" s="13">
        <f t="shared" si="37"/>
        <v>48.939300310809159</v>
      </c>
      <c r="BG23" s="20">
        <f t="shared" si="7"/>
        <v>427.19756804132595</v>
      </c>
      <c r="BH23" s="59">
        <f t="shared" si="8"/>
        <v>708.30867915243709</v>
      </c>
      <c r="BI23" s="59">
        <f ca="1">AVERAGE(OFFSET($BH$3,0,0,'Données projet'!$E$11+1,1))-AVERAGE(OFFSET($H$3,0,0,'Données projet'!$E$11+1,1))</f>
        <v>436.23918637269577</v>
      </c>
      <c r="BJ23" s="59">
        <f t="shared" si="38"/>
        <v>611.43967996341894</v>
      </c>
      <c r="BK23" s="15">
        <f>IF(ISNA(VLOOKUP(A23,'Données projet'!$A$87:$I$107,3,0)),0,VLOOKUP(A23,'Données projet'!$A$87:$I$107,3,0))</f>
        <v>4</v>
      </c>
      <c r="BL23" s="15">
        <f>IF(ISNA(VLOOKUP(A23,'Données projet'!$A$87:$I$107,4,0)),0,VLOOKUP(A23,'Données projet'!$A$87:$I$107,4,0))</f>
        <v>23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7.8816050755130851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7.8816050755130851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61.495200000000004</v>
      </c>
      <c r="CA23" s="13">
        <f t="shared" si="39"/>
        <v>17.545759224285259</v>
      </c>
      <c r="CB23" s="20">
        <f t="shared" si="10"/>
        <v>137.66300398229683</v>
      </c>
      <c r="CC23" s="59">
        <f t="shared" si="11"/>
        <v>418.774115093408</v>
      </c>
      <c r="CD23" s="59">
        <f ca="1">AVERAGE(OFFSET($CC$3,0,0,'Données projet'!$E$12+1,1))-AVERAGE(OFFSET($H$3,0,0,'Données projet'!$E$12+1,1))</f>
        <v>507.79096804746297</v>
      </c>
      <c r="CE23" s="59">
        <f t="shared" si="40"/>
        <v>312.67921212138998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318.97291652986593</v>
      </c>
      <c r="T24" s="59">
        <f t="shared" si="34"/>
        <v>338.19413170988122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19.899999999999995</v>
      </c>
      <c r="AI24" s="13">
        <f>IF('Données projet'!$A$62&gt;35,AI23+AH24-AQ23,IF(A24&lt;'Données projet'!$A$62,$AF$205^A24,IF(A24='Données projet'!$A$62,'Données projet'!$B$62,AI23+AH24-AQ23)))</f>
        <v>137.5</v>
      </c>
      <c r="AJ24" s="13">
        <f>AI24*VLOOKUP('Données projet'!$B$10,Paramètres!$A$1:$I$89,3,0)*VLOOKUP('Données projet'!$B$10,Paramètres!$A$1:$I$89,5,0)</f>
        <v>82.225000000000009</v>
      </c>
      <c r="AK24" s="13">
        <f t="shared" si="35"/>
        <v>22.680336573198979</v>
      </c>
      <c r="AL24" s="20">
        <f t="shared" si="4"/>
        <v>182.71012786498821</v>
      </c>
      <c r="AM24" s="59">
        <f t="shared" si="5"/>
        <v>465.04346119832155</v>
      </c>
      <c r="AN24" s="59">
        <f ca="1">AVERAGE(OFFSET($AM$3,0,0,'Données projet'!$E$10+1,1))-AVERAGE(OFFSET($H$3,0,0,'Données projet'!$E$10+1,1))</f>
        <v>318.97291652986593</v>
      </c>
      <c r="AO24" s="59">
        <f t="shared" si="36"/>
        <v>338.19413170988122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2.3588541761100617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11.176751719845061</v>
      </c>
      <c r="AX24" s="21">
        <f t="shared" si="6"/>
        <v>13.535605895955122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</v>
      </c>
      <c r="BD24" s="12">
        <f>IF('Données projet'!$A$88&gt;35,BD23+BC24-BL23,IF(A24&lt;'Données projet'!$A$88,$BA$205^A24,IF(A24='Données projet'!$A$88,'Données projet'!$B$88,BD23+BC24-BL23)))</f>
        <v>207.00000000000003</v>
      </c>
      <c r="BE24" s="13">
        <f>BD24*VLOOKUP('Données projet'!$B$11,Paramètres!$A$1:$I$89,3,0)*VLOOKUP('Données projet'!$B$11,Paramètres!$A$1:$I$89,5,0)</f>
        <v>187.2936</v>
      </c>
      <c r="BF24" s="13">
        <f t="shared" si="37"/>
        <v>46.941107550760421</v>
      </c>
      <c r="BG24" s="20">
        <f t="shared" si="7"/>
        <v>407.95878231757439</v>
      </c>
      <c r="BH24" s="59">
        <f t="shared" si="8"/>
        <v>690.2921156509077</v>
      </c>
      <c r="BI24" s="59">
        <f ca="1">AVERAGE(OFFSET($BH$3,0,0,'Données projet'!$E$11+1,1))-AVERAGE(OFFSET($H$3,0,0,'Données projet'!$E$11+1,1))</f>
        <v>436.23918637269577</v>
      </c>
      <c r="BJ24" s="59">
        <f t="shared" si="38"/>
        <v>611.43967996341894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7.7270516072866879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7.7270516072866879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75.2</v>
      </c>
      <c r="BZ24" s="13">
        <f>BY24*VLOOKUP('Données projet'!$B$12,Paramètres!$A$1:$I$89,3,0)*VLOOKUP('Données projet'!$B$12,Paramètres!$A$1:$I$89,5,0)</f>
        <v>63.348480000000009</v>
      </c>
      <c r="CA24" s="13">
        <f t="shared" si="39"/>
        <v>18.012175511673341</v>
      </c>
      <c r="CB24" s="20">
        <f t="shared" si="10"/>
        <v>141.70314168283105</v>
      </c>
      <c r="CC24" s="59">
        <f t="shared" si="11"/>
        <v>424.03647501616433</v>
      </c>
      <c r="CD24" s="59">
        <f ca="1">AVERAGE(OFFSET($CC$3,0,0,'Données projet'!$E$12+1,1))-AVERAGE(OFFSET($H$3,0,0,'Données projet'!$E$12+1,1))</f>
        <v>507.79096804746297</v>
      </c>
      <c r="CE24" s="59">
        <f t="shared" si="40"/>
        <v>312.67921212138998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318.97291652986593</v>
      </c>
      <c r="T25" s="59">
        <f t="shared" si="34"/>
        <v>338.19413170988122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19.899999999999995</v>
      </c>
      <c r="AI25" s="13">
        <f>IF('Données projet'!$A$62&gt;35,AI24+AH25-AQ24,IF(A25&lt;'Données projet'!$A$62,$AF$205^A25,IF(A25='Données projet'!$A$62,'Données projet'!$B$62,AI24+AH25-AQ24)))</f>
        <v>157.4</v>
      </c>
      <c r="AJ25" s="13">
        <f>AI25*VLOOKUP('Données projet'!$B$10,Paramètres!$A$1:$I$89,3,0)*VLOOKUP('Données projet'!$B$10,Paramètres!$A$1:$I$89,5,0)</f>
        <v>94.125200000000021</v>
      </c>
      <c r="AK25" s="13">
        <f t="shared" si="35"/>
        <v>25.557514079834487</v>
      </c>
      <c r="AL25" s="20">
        <f t="shared" si="4"/>
        <v>208.44739368904513</v>
      </c>
      <c r="AM25" s="59">
        <f t="shared" si="5"/>
        <v>492.0029492446007</v>
      </c>
      <c r="AN25" s="59">
        <f ca="1">AVERAGE(OFFSET($AM$3,0,0,'Données projet'!$E$10+1,1))-AVERAGE(OFFSET($H$3,0,0,'Données projet'!$E$10+1,1))</f>
        <v>318.97291652986593</v>
      </c>
      <c r="AO25" s="59">
        <f t="shared" si="36"/>
        <v>338.19413170988122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2.312598484475525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7.9031569327408508</v>
      </c>
      <c r="AX25" s="21">
        <f t="shared" si="6"/>
        <v>10.215755417216375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</v>
      </c>
      <c r="BD25" s="12">
        <f>IF('Données projet'!$A$88&gt;35,BD24+BC25-BL24,IF(A25&lt;'Données projet'!$A$88,$BA$205^A25,IF(A25='Données projet'!$A$88,'Données projet'!$B$88,BD24+BC25-BL24)))</f>
        <v>220.00000000000003</v>
      </c>
      <c r="BE25" s="13">
        <f>BD25*VLOOKUP('Données projet'!$B$11,Paramètres!$A$1:$I$89,3,0)*VLOOKUP('Données projet'!$B$11,Paramètres!$A$1:$I$89,5,0)</f>
        <v>199.05600000000001</v>
      </c>
      <c r="BF25" s="13">
        <f t="shared" si="37"/>
        <v>49.536648006253934</v>
      </c>
      <c r="BG25" s="20">
        <f t="shared" si="7"/>
        <v>432.96552861089231</v>
      </c>
      <c r="BH25" s="59">
        <f t="shared" si="8"/>
        <v>716.52108416644785</v>
      </c>
      <c r="BI25" s="59">
        <f ca="1">AVERAGE(OFFSET($BH$3,0,0,'Données projet'!$E$11+1,1))-AVERAGE(OFFSET($H$3,0,0,'Données projet'!$E$11+1,1))</f>
        <v>436.23918637269577</v>
      </c>
      <c r="BJ25" s="59">
        <f t="shared" si="38"/>
        <v>611.43967996341894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7.575528838303903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7.575528838303903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83.4</v>
      </c>
      <c r="BZ25" s="13">
        <f>BY25*VLOOKUP('Données projet'!$B$12,Paramètres!$A$1:$I$89,3,0)*VLOOKUP('Données projet'!$B$12,Paramètres!$A$1:$I$89,5,0)</f>
        <v>70.256160000000023</v>
      </c>
      <c r="CA25" s="13">
        <f t="shared" si="39"/>
        <v>19.737057597671299</v>
      </c>
      <c r="CB25" s="20">
        <f t="shared" si="10"/>
        <v>156.7381873159442</v>
      </c>
      <c r="CC25" s="59">
        <f t="shared" si="11"/>
        <v>440.29374287149972</v>
      </c>
      <c r="CD25" s="59">
        <f ca="1">AVERAGE(OFFSET($CC$3,0,0,'Données projet'!$E$12+1,1))-AVERAGE(OFFSET($H$3,0,0,'Données projet'!$E$12+1,1))</f>
        <v>507.79096804746297</v>
      </c>
      <c r="CE25" s="59">
        <f t="shared" si="40"/>
        <v>312.67921212138998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318.97291652986593</v>
      </c>
      <c r="T26" s="59">
        <f t="shared" si="34"/>
        <v>338.19413170988122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19.899999999999995</v>
      </c>
      <c r="AI26" s="13">
        <f>IF('Données projet'!$A$62&gt;35,AI25+AH26-AQ25,IF(A26&lt;'Données projet'!$A$62,$AF$205^A26,IF(A26='Données projet'!$A$62,'Données projet'!$B$62,AI25+AH26-AQ25)))</f>
        <v>177.3</v>
      </c>
      <c r="AJ26" s="13">
        <f>AI26*VLOOKUP('Données projet'!$B$10,Paramètres!$A$1:$I$89,3,0)*VLOOKUP('Données projet'!$B$10,Paramètres!$A$1:$I$89,5,0)</f>
        <v>106.02540000000002</v>
      </c>
      <c r="AK26" s="13">
        <f t="shared" si="35"/>
        <v>28.392541537580129</v>
      </c>
      <c r="AL26" s="20">
        <f t="shared" si="4"/>
        <v>234.11124817795204</v>
      </c>
      <c r="AM26" s="59">
        <f t="shared" si="5"/>
        <v>518.88902595572984</v>
      </c>
      <c r="AN26" s="59">
        <f ca="1">AVERAGE(OFFSET($AM$3,0,0,'Données projet'!$E$10+1,1))-AVERAGE(OFFSET($H$3,0,0,'Données projet'!$E$10+1,1))</f>
        <v>318.97291652986593</v>
      </c>
      <c r="AO26" s="59">
        <f t="shared" si="36"/>
        <v>338.19413170988122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2.2672498387407556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5.5883758599225315</v>
      </c>
      <c r="AX26" s="21">
        <f t="shared" si="6"/>
        <v>7.8556256986632871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</v>
      </c>
      <c r="BD26" s="12">
        <f>IF('Données projet'!$A$88&gt;35,BD25+BC26-BL25,IF(A26&lt;'Données projet'!$A$88,$BA$205^A26,IF(A26='Données projet'!$A$88,'Données projet'!$B$88,BD25+BC26-BL25)))</f>
        <v>233.00000000000003</v>
      </c>
      <c r="BE26" s="13">
        <f>BD26*VLOOKUP('Données projet'!$B$11,Paramètres!$A$1:$I$89,3,0)*VLOOKUP('Données projet'!$B$11,Paramètres!$A$1:$I$89,5,0)</f>
        <v>210.81840000000003</v>
      </c>
      <c r="BF26" s="13">
        <f t="shared" si="37"/>
        <v>52.114386184062198</v>
      </c>
      <c r="BG26" s="20">
        <f t="shared" si="7"/>
        <v>457.94126927057505</v>
      </c>
      <c r="BH26" s="59">
        <f t="shared" si="8"/>
        <v>742.71904704835288</v>
      </c>
      <c r="BI26" s="59">
        <f ca="1">AVERAGE(OFFSET($BH$3,0,0,'Données projet'!$E$11+1,1))-AVERAGE(OFFSET($H$3,0,0,'Données projet'!$E$11+1,1))</f>
        <v>436.23918637269577</v>
      </c>
      <c r="BJ26" s="59">
        <f t="shared" si="38"/>
        <v>611.43967996341894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7.4269773384011071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7.4269773384011071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91.600000000000009</v>
      </c>
      <c r="BZ26" s="13">
        <f>BY26*VLOOKUP('Données projet'!$B$12,Paramètres!$A$1:$I$89,3,0)*VLOOKUP('Données projet'!$B$12,Paramètres!$A$1:$I$89,5,0)</f>
        <v>77.163840000000008</v>
      </c>
      <c r="CA26" s="13">
        <f t="shared" si="39"/>
        <v>21.442278213774838</v>
      </c>
      <c r="CB26" s="20">
        <f t="shared" si="10"/>
        <v>171.73898922232453</v>
      </c>
      <c r="CC26" s="59">
        <f t="shared" si="11"/>
        <v>456.51676700010228</v>
      </c>
      <c r="CD26" s="59">
        <f ca="1">AVERAGE(OFFSET($CC$3,0,0,'Données projet'!$E$12+1,1))-AVERAGE(OFFSET($H$3,0,0,'Données projet'!$E$12+1,1))</f>
        <v>507.79096804746297</v>
      </c>
      <c r="CE26" s="59">
        <f t="shared" si="40"/>
        <v>312.67921212138998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318.97291652986593</v>
      </c>
      <c r="T27" s="59">
        <f t="shared" si="34"/>
        <v>338.19413170988122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197.2</v>
      </c>
      <c r="AG27" s="12">
        <f>VLOOKUP(A27,'Données projet'!$A$61:$I$81,9,0)</f>
        <v>19.899999999999995</v>
      </c>
      <c r="AH27" s="12">
        <f t="array" ref="AH27">INDEX(AG:AG,MIN(IF(ISNUMBER(AG27:AG223),ROW(AG27:AG223),"")))</f>
        <v>19.899999999999995</v>
      </c>
      <c r="AI27" s="13">
        <f>IF('Données projet'!$A$62&gt;35,AI26+AH27-AQ26,IF(A27&lt;'Données projet'!$A$62,$AF$205^A27,IF(A27='Données projet'!$A$62,'Données projet'!$B$62,AI26+AH27-AQ26)))</f>
        <v>197.20000000000002</v>
      </c>
      <c r="AJ27" s="13">
        <f>AI27*VLOOKUP('Données projet'!$B$10,Paramètres!$A$1:$I$89,3,0)*VLOOKUP('Données projet'!$B$10,Paramètres!$A$1:$I$89,5,0)</f>
        <v>117.92560000000003</v>
      </c>
      <c r="AK27" s="13">
        <f t="shared" si="35"/>
        <v>31.190689636070587</v>
      </c>
      <c r="AL27" s="20">
        <f t="shared" si="4"/>
        <v>259.71087111615634</v>
      </c>
      <c r="AM27" s="59">
        <f t="shared" si="5"/>
        <v>545.71087111615634</v>
      </c>
      <c r="AN27" s="59">
        <f ca="1">AVERAGE(OFFSET($AM$3,0,0,'Données projet'!$E$10+1,1))-AVERAGE(OFFSET($H$3,0,0,'Données projet'!$E$10+1,1))</f>
        <v>318.97291652986593</v>
      </c>
      <c r="AO27" s="59">
        <f t="shared" si="36"/>
        <v>338.19413170988122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42.9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6.8171036824084048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18.474835369972155</v>
      </c>
      <c r="AX27" s="21">
        <f t="shared" si="6"/>
        <v>25.29193905238056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</v>
      </c>
      <c r="BD27" s="12">
        <f>IF('Données projet'!$A$88&gt;35,BD26+BC27-BL26,IF(A27&lt;'Données projet'!$A$88,$BA$205^A27,IF(A27='Données projet'!$A$88,'Données projet'!$B$88,BD26+BC27-BL26)))</f>
        <v>246.00000000000003</v>
      </c>
      <c r="BE27" s="13">
        <f>BD27*VLOOKUP('Données projet'!$B$11,Paramètres!$A$1:$I$89,3,0)*VLOOKUP('Données projet'!$B$11,Paramètres!$A$1:$I$89,5,0)</f>
        <v>222.58080000000001</v>
      </c>
      <c r="BF27" s="13">
        <f t="shared" si="37"/>
        <v>54.675428546153249</v>
      </c>
      <c r="BG27" s="20">
        <f t="shared" si="7"/>
        <v>482.8879313845502</v>
      </c>
      <c r="BH27" s="59">
        <f t="shared" si="8"/>
        <v>768.88793138455026</v>
      </c>
      <c r="BI27" s="59">
        <f ca="1">AVERAGE(OFFSET($BH$3,0,0,'Données projet'!$E$11+1,1))-AVERAGE(OFFSET($H$3,0,0,'Données projet'!$E$11+1,1))</f>
        <v>436.23918637269577</v>
      </c>
      <c r="BJ27" s="59">
        <f t="shared" si="38"/>
        <v>611.43967996341894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7.2813388428039367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7.2813388428039367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99.800000000000011</v>
      </c>
      <c r="BZ27" s="13">
        <f>BY27*VLOOKUP('Données projet'!$B$12,Paramètres!$A$1:$I$89,3,0)*VLOOKUP('Données projet'!$B$12,Paramètres!$A$1:$I$89,5,0)</f>
        <v>84.071520000000021</v>
      </c>
      <c r="CA27" s="13">
        <f t="shared" si="39"/>
        <v>23.129797599684554</v>
      </c>
      <c r="CB27" s="20">
        <f t="shared" si="10"/>
        <v>186.70896148611726</v>
      </c>
      <c r="CC27" s="59">
        <f t="shared" si="11"/>
        <v>472.70896148611723</v>
      </c>
      <c r="CD27" s="59">
        <f ca="1">AVERAGE(OFFSET($CC$3,0,0,'Données projet'!$E$12+1,1))-AVERAGE(OFFSET($H$3,0,0,'Données projet'!$E$12+1,1))</f>
        <v>507.79096804746297</v>
      </c>
      <c r="CE27" s="59">
        <f t="shared" si="40"/>
        <v>312.67921212138998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517.30780156925096</v>
      </c>
      <c r="S28" s="59">
        <f ca="1">AVERAGE(OFFSET($R$3,0,0,'Données projet'!$E$9+1,1))-AVERAGE(OFFSET($H$3,0,0,'Données projet'!$E$9+1,1))</f>
        <v>318.97291652986593</v>
      </c>
      <c r="T28" s="59">
        <f t="shared" si="34"/>
        <v>338.19413170988122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19.875</v>
      </c>
      <c r="AI28" s="13">
        <f>IF('Données projet'!$A$62&gt;35,AI27+AH28-AQ27,IF(A28&lt;'Données projet'!$A$62,$AF$205^A28,IF(A28='Données projet'!$A$62,'Données projet'!$B$62,AI27+AH28-AQ27)))</f>
        <v>174.17500000000001</v>
      </c>
      <c r="AJ28" s="13">
        <f>AI28*VLOOKUP('Données projet'!$B$10,Paramètres!$A$1:$I$89,3,0)*VLOOKUP('Données projet'!$B$10,Paramètres!$A$1:$I$89,5,0)</f>
        <v>104.15665000000001</v>
      </c>
      <c r="AK28" s="13">
        <f t="shared" si="35"/>
        <v>27.949902735136092</v>
      </c>
      <c r="AL28" s="20">
        <f t="shared" si="4"/>
        <v>230.08557934702876</v>
      </c>
      <c r="AM28" s="59">
        <f t="shared" si="5"/>
        <v>517.30780156925096</v>
      </c>
      <c r="AN28" s="59">
        <f ca="1">AVERAGE(OFFSET($AM$3,0,0,'Données projet'!$E$10+1,1))-AVERAGE(OFFSET($H$3,0,0,'Données projet'!$E$10+1,1))</f>
        <v>318.97291652986593</v>
      </c>
      <c r="AO28" s="59">
        <f t="shared" si="36"/>
        <v>338.19413170988122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6.6834244372190517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13.06368137141239</v>
      </c>
      <c r="AX28" s="21">
        <f t="shared" si="6"/>
        <v>19.747105808631442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259</v>
      </c>
      <c r="BB28" s="12">
        <f>VLOOKUP(A28,'Données projet'!$A$87:$I$107,9,0)</f>
        <v>13</v>
      </c>
      <c r="BC28" s="12">
        <f t="array" ref="BC28">INDEX(BB:BB,MIN(IF(ISNUMBER(BB28:BB224),ROW(BB28:BB224),"")))</f>
        <v>13</v>
      </c>
      <c r="BD28" s="12">
        <f>IF('Données projet'!$A$88&gt;35,BD27+BC28-BL27,IF(A28&lt;'Données projet'!$A$88,$BA$205^A28,IF(A28='Données projet'!$A$88,'Données projet'!$B$88,BD27+BC28-BL27)))</f>
        <v>259</v>
      </c>
      <c r="BE28" s="13">
        <f>BD28*VLOOKUP('Données projet'!$B$11,Paramètres!$A$1:$I$89,3,0)*VLOOKUP('Données projet'!$B$11,Paramètres!$A$1:$I$89,5,0)</f>
        <v>234.3432</v>
      </c>
      <c r="BF28" s="13">
        <f t="shared" si="37"/>
        <v>57.220758006491664</v>
      </c>
      <c r="BG28" s="20">
        <f t="shared" si="7"/>
        <v>507.80722686130622</v>
      </c>
      <c r="BH28" s="59">
        <f t="shared" si="8"/>
        <v>795.02944908352845</v>
      </c>
      <c r="BI28" s="59">
        <f ca="1">AVERAGE(OFFSET($BH$3,0,0,'Données projet'!$E$11+1,1))-AVERAGE(OFFSET($H$3,0,0,'Données projet'!$E$11+1,1))</f>
        <v>436.23918637269577</v>
      </c>
      <c r="BJ28" s="59">
        <f t="shared" si="38"/>
        <v>611.43967996341894</v>
      </c>
      <c r="BK28" s="15">
        <f>IF(ISNA(VLOOKUP(A28,'Données projet'!$A$87:$I$107,3,0)),0,VLOOKUP(A28,'Données projet'!$A$87:$I$107,3,0))</f>
        <v>5</v>
      </c>
      <c r="BL28" s="15">
        <f>IF(ISNA(VLOOKUP(A28,'Données projet'!$A$87:$I$107,4,0)),0,VLOOKUP(A28,'Données projet'!$A$87:$I$107,4,0))</f>
        <v>18</v>
      </c>
      <c r="BM28" s="16">
        <f>IF(ISNA(VLOOKUP(A28,'Données projet'!$A$87:$I$107,5,0)),0%,VLOOKUP(A28,'Données projet'!$A$87:$I$107,5,0)*VLOOKUP('Données projet'!$B$11,Paramètres!$A$1:$I$89,7,0))</f>
        <v>0.3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12.539796066042346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12.539796066042346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108.00000000000001</v>
      </c>
      <c r="BZ28" s="13">
        <f>BY28*VLOOKUP('Données projet'!$B$12,Paramètres!$A$1:$I$89,3,0)*VLOOKUP('Données projet'!$B$12,Paramètres!$A$1:$I$89,5,0)</f>
        <v>90.97920000000002</v>
      </c>
      <c r="CA28" s="13">
        <f t="shared" si="39"/>
        <v>24.801235516871511</v>
      </c>
      <c r="CB28" s="20">
        <f t="shared" si="10"/>
        <v>201.65092519188457</v>
      </c>
      <c r="CC28" s="59">
        <f t="shared" si="11"/>
        <v>488.87314741410682</v>
      </c>
      <c r="CD28" s="59">
        <f ca="1">AVERAGE(OFFSET($CC$3,0,0,'Données projet'!$E$12+1,1))-AVERAGE(OFFSET($H$3,0,0,'Données projet'!$E$12+1,1))</f>
        <v>507.79096804746297</v>
      </c>
      <c r="CE28" s="59">
        <f t="shared" si="40"/>
        <v>312.67921212138998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544.10707877173172</v>
      </c>
      <c r="S29" s="59">
        <f ca="1">AVERAGE(OFFSET($R$3,0,0,'Données projet'!$E$9+1,1))-AVERAGE(OFFSET($H$3,0,0,'Données projet'!$E$9+1,1))</f>
        <v>318.97291652986593</v>
      </c>
      <c r="T29" s="59">
        <f t="shared" si="34"/>
        <v>338.19413170988122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19.875</v>
      </c>
      <c r="AI29" s="13">
        <f>IF('Données projet'!$A$62&gt;35,AI28+AH29-AQ28,IF(A29&lt;'Données projet'!$A$62,$AF$205^A29,IF(A29='Données projet'!$A$62,'Données projet'!$B$62,AI28+AH29-AQ28)))</f>
        <v>194.05</v>
      </c>
      <c r="AJ29" s="13">
        <f>AI29*VLOOKUP('Données projet'!$B$10,Paramètres!$A$1:$I$89,3,0)*VLOOKUP('Données projet'!$B$10,Paramètres!$A$1:$I$89,5,0)</f>
        <v>116.04190000000001</v>
      </c>
      <c r="AK29" s="13">
        <f t="shared" si="35"/>
        <v>30.750043154423295</v>
      </c>
      <c r="AL29" s="20">
        <f t="shared" si="4"/>
        <v>255.66263432728726</v>
      </c>
      <c r="AM29" s="59">
        <f t="shared" si="5"/>
        <v>544.10707877173172</v>
      </c>
      <c r="AN29" s="59">
        <f ca="1">AVERAGE(OFFSET($AM$3,0,0,'Données projet'!$E$10+1,1))-AVERAGE(OFFSET($H$3,0,0,'Données projet'!$E$10+1,1))</f>
        <v>318.97291652986593</v>
      </c>
      <c r="AO29" s="59">
        <f t="shared" si="36"/>
        <v>338.19413170988122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6.5523665604915733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9.2374176849860774</v>
      </c>
      <c r="AX29" s="21">
        <f t="shared" si="6"/>
        <v>15.789784245477652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10.6</v>
      </c>
      <c r="BD29" s="12">
        <f>IF('Données projet'!$A$88&gt;35,BD28+BC29-BL28,IF(A29&lt;'Données projet'!$A$88,$BA$205^A29,IF(A29='Données projet'!$A$88,'Données projet'!$B$88,BD28+BC29-BL28)))</f>
        <v>251.60000000000002</v>
      </c>
      <c r="BE29" s="13">
        <f>BD29*VLOOKUP('Données projet'!$B$11,Paramètres!$A$1:$I$89,3,0)*VLOOKUP('Données projet'!$B$11,Paramètres!$A$1:$I$89,5,0)</f>
        <v>227.64768000000001</v>
      </c>
      <c r="BF29" s="13">
        <f t="shared" si="37"/>
        <v>55.773751036838362</v>
      </c>
      <c r="BG29" s="20">
        <f t="shared" si="7"/>
        <v>493.62565905582687</v>
      </c>
      <c r="BH29" s="59">
        <f t="shared" si="8"/>
        <v>782.07010350027133</v>
      </c>
      <c r="BI29" s="59">
        <f ca="1">AVERAGE(OFFSET($BH$3,0,0,'Données projet'!$E$11+1,1))-AVERAGE(OFFSET($H$3,0,0,'Données projet'!$E$11+1,1))</f>
        <v>436.23918637269577</v>
      </c>
      <c r="BJ29" s="59">
        <f t="shared" si="38"/>
        <v>611.43967996341894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12.293898313707627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12.293898313707627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116.20000000000002</v>
      </c>
      <c r="BZ29" s="13">
        <f>BY29*VLOOKUP('Données projet'!$B$12,Paramètres!$A$1:$I$89,3,0)*VLOOKUP('Données projet'!$B$12,Paramètres!$A$1:$I$89,5,0)</f>
        <v>97.886880000000019</v>
      </c>
      <c r="CA29" s="13">
        <f t="shared" si="39"/>
        <v>26.457951797777866</v>
      </c>
      <c r="CB29" s="20">
        <f t="shared" si="10"/>
        <v>216.56724871446315</v>
      </c>
      <c r="CC29" s="59">
        <f t="shared" si="11"/>
        <v>505.01169315890763</v>
      </c>
      <c r="CD29" s="59">
        <f ca="1">AVERAGE(OFFSET($CC$3,0,0,'Données projet'!$E$12+1,1))-AVERAGE(OFFSET($H$3,0,0,'Données projet'!$E$12+1,1))</f>
        <v>507.79096804746297</v>
      </c>
      <c r="CE29" s="59">
        <f t="shared" si="40"/>
        <v>312.67921212138998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570.84845223854927</v>
      </c>
      <c r="S30" s="59">
        <f ca="1">AVERAGE(OFFSET($R$3,0,0,'Données projet'!$E$9+1,1))-AVERAGE(OFFSET($H$3,0,0,'Données projet'!$E$9+1,1))</f>
        <v>318.97291652986593</v>
      </c>
      <c r="T30" s="59">
        <f t="shared" si="34"/>
        <v>338.19413170988122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19.875</v>
      </c>
      <c r="AI30" s="13">
        <f>IF('Données projet'!$A$62&gt;35,AI29+AH30-AQ29,IF(A30&lt;'Données projet'!$A$62,$AF$205^A30,IF(A30='Données projet'!$A$62,'Données projet'!$B$62,AI29+AH30-AQ29)))</f>
        <v>213.92500000000001</v>
      </c>
      <c r="AJ30" s="13">
        <f>AI30*VLOOKUP('Données projet'!$B$10,Paramètres!$A$1:$I$89,3,0)*VLOOKUP('Données projet'!$B$10,Paramètres!$A$1:$I$89,5,0)</f>
        <v>127.92715000000001</v>
      </c>
      <c r="AK30" s="13">
        <f t="shared" si="35"/>
        <v>33.51693740969332</v>
      </c>
      <c r="AL30" s="20">
        <f t="shared" si="4"/>
        <v>281.18178557188253</v>
      </c>
      <c r="AM30" s="59">
        <f t="shared" si="5"/>
        <v>570.84845223854927</v>
      </c>
      <c r="AN30" s="59">
        <f ca="1">AVERAGE(OFFSET($AM$3,0,0,'Données projet'!$E$10+1,1))-AVERAGE(OFFSET($H$3,0,0,'Données projet'!$E$10+1,1))</f>
        <v>318.97291652986593</v>
      </c>
      <c r="AO30" s="59">
        <f t="shared" si="36"/>
        <v>338.19413170988122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6.4238786487893087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6.5318406857061948</v>
      </c>
      <c r="AX30" s="21">
        <f t="shared" si="6"/>
        <v>12.955719334495504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10.6</v>
      </c>
      <c r="BD30" s="12">
        <f>IF('Données projet'!$A$88&gt;35,BD29+BC30-BL29,IF(A30&lt;'Données projet'!$A$88,$BA$205^A30,IF(A30='Données projet'!$A$88,'Données projet'!$B$88,BD29+BC30-BL29)))</f>
        <v>262.20000000000005</v>
      </c>
      <c r="BE30" s="13">
        <f>BD30*VLOOKUP('Données projet'!$B$11,Paramètres!$A$1:$I$89,3,0)*VLOOKUP('Données projet'!$B$11,Paramètres!$A$1:$I$89,5,0)</f>
        <v>237.23856000000004</v>
      </c>
      <c r="BF30" s="13">
        <f t="shared" si="37"/>
        <v>57.84499363660688</v>
      </c>
      <c r="BG30" s="20">
        <f t="shared" si="7"/>
        <v>513.93718925042367</v>
      </c>
      <c r="BH30" s="59">
        <f t="shared" si="8"/>
        <v>803.60385591709041</v>
      </c>
      <c r="BI30" s="59">
        <f ca="1">AVERAGE(OFFSET($BH$3,0,0,'Données projet'!$E$11+1,1))-AVERAGE(OFFSET($H$3,0,0,'Données projet'!$E$11+1,1))</f>
        <v>436.23918637269577</v>
      </c>
      <c r="BJ30" s="59">
        <f t="shared" si="38"/>
        <v>611.43967996341894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12.052822466313373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12.052822466313373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124.40000000000002</v>
      </c>
      <c r="BZ30" s="13">
        <f>BY30*VLOOKUP('Données projet'!$B$12,Paramètres!$A$1:$I$89,3,0)*VLOOKUP('Données projet'!$B$12,Paramètres!$A$1:$I$89,5,0)</f>
        <v>104.79456000000003</v>
      </c>
      <c r="CA30" s="13">
        <f t="shared" si="39"/>
        <v>28.101103481959861</v>
      </c>
      <c r="CB30" s="20">
        <f t="shared" si="10"/>
        <v>231.45994723108015</v>
      </c>
      <c r="CC30" s="59">
        <f t="shared" si="11"/>
        <v>521.12661389774689</v>
      </c>
      <c r="CD30" s="59">
        <f ca="1">AVERAGE(OFFSET($CC$3,0,0,'Données projet'!$E$12+1,1))-AVERAGE(OFFSET($H$3,0,0,'Données projet'!$E$12+1,1))</f>
        <v>507.79096804746297</v>
      </c>
      <c r="CE30" s="59">
        <f t="shared" si="40"/>
        <v>312.67921212138998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597.53791350350582</v>
      </c>
      <c r="S31" s="59">
        <f ca="1">AVERAGE(OFFSET($R$3,0,0,'Données projet'!$E$9+1,1))-AVERAGE(OFFSET($H$3,0,0,'Données projet'!$E$9+1,1))</f>
        <v>318.97291652986593</v>
      </c>
      <c r="T31" s="59">
        <f t="shared" si="34"/>
        <v>338.19413170988122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233.79999999999998</v>
      </c>
      <c r="AG31" s="12">
        <f>VLOOKUP(A31,'Données projet'!$A$61:$I$81,9,0)</f>
        <v>19.875</v>
      </c>
      <c r="AH31" s="12">
        <f t="array" ref="AH31">INDEX(AG:AG,MIN(IF(ISNUMBER(AG31:AG227),ROW(AG31:AG227),"")))</f>
        <v>19.875</v>
      </c>
      <c r="AI31" s="13">
        <f>IF('Données projet'!$A$62&gt;35,AI30+AH31-AQ30,IF(A31&lt;'Données projet'!$A$62,$AF$205^A31,IF(A31='Données projet'!$A$62,'Données projet'!$B$62,AI30+AH31-AQ30)))</f>
        <v>233.8</v>
      </c>
      <c r="AJ31" s="13">
        <f>AI31*VLOOKUP('Données projet'!$B$10,Paramètres!$A$1:$I$89,3,0)*VLOOKUP('Données projet'!$B$10,Paramètres!$A$1:$I$89,5,0)</f>
        <v>139.81240000000003</v>
      </c>
      <c r="AK31" s="13">
        <f t="shared" si="35"/>
        <v>36.254025616047976</v>
      </c>
      <c r="AL31" s="20">
        <f t="shared" si="4"/>
        <v>306.64902461461696</v>
      </c>
      <c r="AM31" s="59">
        <f t="shared" si="5"/>
        <v>597.53791350350582</v>
      </c>
      <c r="AN31" s="59">
        <f ca="1">AVERAGE(OFFSET($AM$3,0,0,'Données projet'!$E$10+1,1))-AVERAGE(OFFSET($H$3,0,0,'Données projet'!$E$10+1,1))</f>
        <v>318.97291652986593</v>
      </c>
      <c r="AO31" s="59">
        <f t="shared" si="36"/>
        <v>338.19413170988122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41.4</v>
      </c>
      <c r="AR31" s="16">
        <f>IF(ISNA(VLOOKUP(A31,'Données projet'!$A$61:$I$81,5,0)),0%,VLOOKUP(A31,'Données projet'!$A$61:$I$81,5,0)*VLOOKUP('Données projet'!$B$10,Paramètres!$A$1:$I$89,7,0))</f>
        <v>0.22500000000000001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13.68736515231239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15.831069417021927</v>
      </c>
      <c r="AX31" s="21">
        <f t="shared" si="6"/>
        <v>29.518434569334318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10.6</v>
      </c>
      <c r="BD31" s="12">
        <f>IF('Données projet'!$A$88&gt;35,BD30+BC31-BL30,IF(A31&lt;'Données projet'!$A$88,$BA$205^A31,IF(A31='Données projet'!$A$88,'Données projet'!$B$88,BD30+BC31-BL30)))</f>
        <v>272.80000000000007</v>
      </c>
      <c r="BE31" s="13">
        <f>BD31*VLOOKUP('Données projet'!$B$11,Paramètres!$A$1:$I$89,3,0)*VLOOKUP('Données projet'!$B$11,Paramètres!$A$1:$I$89,5,0)</f>
        <v>246.82944000000003</v>
      </c>
      <c r="BF31" s="13">
        <f t="shared" si="37"/>
        <v>59.906509645447485</v>
      </c>
      <c r="BG31" s="20">
        <f t="shared" si="7"/>
        <v>534.23177896582104</v>
      </c>
      <c r="BH31" s="59">
        <f t="shared" si="8"/>
        <v>825.12066785470984</v>
      </c>
      <c r="BI31" s="59">
        <f ca="1">AVERAGE(OFFSET($BH$3,0,0,'Données projet'!$E$11+1,1))-AVERAGE(OFFSET($H$3,0,0,'Données projet'!$E$11+1,1))</f>
        <v>436.23918637269577</v>
      </c>
      <c r="BJ31" s="59">
        <f t="shared" si="38"/>
        <v>611.43967996341894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11.816473969244772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11.816473969244772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132.60000000000002</v>
      </c>
      <c r="BZ31" s="13">
        <f>BY31*VLOOKUP('Données projet'!$B$12,Paramètres!$A$1:$I$89,3,0)*VLOOKUP('Données projet'!$B$12,Paramètres!$A$1:$I$89,5,0)</f>
        <v>111.70224000000003</v>
      </c>
      <c r="CA31" s="13">
        <f t="shared" si="39"/>
        <v>29.731686445309627</v>
      </c>
      <c r="CB31" s="20">
        <f t="shared" si="10"/>
        <v>246.33075522558093</v>
      </c>
      <c r="CC31" s="59">
        <f t="shared" si="11"/>
        <v>537.21964411446982</v>
      </c>
      <c r="CD31" s="59">
        <f ca="1">AVERAGE(OFFSET($CC$3,0,0,'Données projet'!$E$12+1,1))-AVERAGE(OFFSET($H$3,0,0,'Données projet'!$E$12+1,1))</f>
        <v>507.79096804746297</v>
      </c>
      <c r="CE31" s="59">
        <f t="shared" si="40"/>
        <v>312.67921212138998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318.97291652986593</v>
      </c>
      <c r="T32" s="59">
        <f t="shared" si="34"/>
        <v>338.19413170988122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18.700000000000006</v>
      </c>
      <c r="AI32" s="13">
        <f>IF('Données projet'!$A$62&gt;35,AI31+AH32-AQ31,IF(A32&lt;'Données projet'!$A$62,$AF$205^A32,IF(A32='Données projet'!$A$62,'Données projet'!$B$62,AI31+AH32-AQ31)))</f>
        <v>211.10000000000002</v>
      </c>
      <c r="AJ32" s="13">
        <f>AI32*VLOOKUP('Données projet'!$B$10,Paramètres!$A$1:$I$89,3,0)*VLOOKUP('Données projet'!$B$10,Paramètres!$A$1:$I$89,5,0)</f>
        <v>126.23780000000002</v>
      </c>
      <c r="AK32" s="13">
        <f t="shared" si="35"/>
        <v>33.12554513217659</v>
      </c>
      <c r="AL32" s="20">
        <f t="shared" si="4"/>
        <v>277.5578261052076</v>
      </c>
      <c r="AM32" s="59">
        <f t="shared" si="5"/>
        <v>569.66893721631868</v>
      </c>
      <c r="AN32" s="59">
        <f ca="1">AVERAGE(OFFSET($AM$3,0,0,'Données projet'!$E$10+1,1))-AVERAGE(OFFSET($H$3,0,0,'Données projet'!$E$10+1,1))</f>
        <v>318.97291652986593</v>
      </c>
      <c r="AO32" s="59">
        <f t="shared" si="36"/>
        <v>338.19413170988122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13.418964270143944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11.194256538211169</v>
      </c>
      <c r="AX32" s="21">
        <f t="shared" si="6"/>
        <v>24.613220808355113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10.6</v>
      </c>
      <c r="BD32" s="12">
        <f>IF('Données projet'!$A$88&gt;35,BD31+BC32-BL31,IF(A32&lt;'Données projet'!$A$88,$BA$205^A32,IF(A32='Données projet'!$A$88,'Données projet'!$B$88,BD31+BC32-BL31)))</f>
        <v>283.40000000000009</v>
      </c>
      <c r="BE32" s="13">
        <f>BD32*VLOOKUP('Données projet'!$B$11,Paramètres!$A$1:$I$89,3,0)*VLOOKUP('Données projet'!$B$11,Paramètres!$A$1:$I$89,5,0)</f>
        <v>256.42032000000006</v>
      </c>
      <c r="BF32" s="13">
        <f t="shared" si="37"/>
        <v>61.958720258016918</v>
      </c>
      <c r="BG32" s="20">
        <f t="shared" si="7"/>
        <v>554.51016178271277</v>
      </c>
      <c r="BH32" s="59">
        <f t="shared" si="8"/>
        <v>846.62127289382397</v>
      </c>
      <c r="BI32" s="59">
        <f ca="1">AVERAGE(OFFSET($BH$3,0,0,'Données projet'!$E$11+1,1))-AVERAGE(OFFSET($H$3,0,0,'Données projet'!$E$11+1,1))</f>
        <v>436.23918637269577</v>
      </c>
      <c r="BJ32" s="59">
        <f t="shared" si="38"/>
        <v>611.43967996341894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11.584760122045338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11.584760122045338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140.80000000000001</v>
      </c>
      <c r="BZ32" s="13">
        <f>BY32*VLOOKUP('Données projet'!$B$12,Paramètres!$A$1:$I$89,3,0)*VLOOKUP('Données projet'!$B$12,Paramètres!$A$1:$I$89,5,0)</f>
        <v>118.60992000000002</v>
      </c>
      <c r="CA32" s="13">
        <f t="shared" si="39"/>
        <v>31.35056643275615</v>
      </c>
      <c r="CB32" s="20">
        <f t="shared" si="10"/>
        <v>261.18118053705035</v>
      </c>
      <c r="CC32" s="59">
        <f t="shared" si="11"/>
        <v>553.29229164816149</v>
      </c>
      <c r="CD32" s="59">
        <f ca="1">AVERAGE(OFFSET($CC$3,0,0,'Données projet'!$E$12+1,1))-AVERAGE(OFFSET($H$3,0,0,'Données projet'!$E$12+1,1))</f>
        <v>507.79096804746297</v>
      </c>
      <c r="CE32" s="59">
        <f t="shared" si="40"/>
        <v>312.67921212138998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318.97291652986593</v>
      </c>
      <c r="T33" s="59">
        <f t="shared" si="34"/>
        <v>338.19413170988122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18.700000000000006</v>
      </c>
      <c r="AI33" s="13">
        <f>IF('Données projet'!$A$62&gt;35,AI32+AH33-AQ32,IF(A33&lt;'Données projet'!$A$62,$AF$205^A33,IF(A33='Données projet'!$A$62,'Données projet'!$B$62,AI32+AH33-AQ32)))</f>
        <v>229.80000000000004</v>
      </c>
      <c r="AJ33" s="13">
        <f>AI33*VLOOKUP('Données projet'!$B$10,Paramètres!$A$1:$I$89,3,0)*VLOOKUP('Données projet'!$B$10,Paramètres!$A$1:$I$89,5,0)</f>
        <v>137.42040000000003</v>
      </c>
      <c r="AK33" s="13">
        <f t="shared" si="35"/>
        <v>35.705417249692559</v>
      </c>
      <c r="AL33" s="20">
        <f t="shared" si="4"/>
        <v>301.52746504321459</v>
      </c>
      <c r="AM33" s="59">
        <f t="shared" si="5"/>
        <v>594.8607983765479</v>
      </c>
      <c r="AN33" s="59">
        <f ca="1">AVERAGE(OFFSET($AM$3,0,0,'Données projet'!$E$10+1,1))-AVERAGE(OFFSET($H$3,0,0,'Données projet'!$E$10+1,1))</f>
        <v>318.97291652986593</v>
      </c>
      <c r="AO33" s="59">
        <f t="shared" si="36"/>
        <v>338.19413170988122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13.155826565566448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7.9155347085109646</v>
      </c>
      <c r="AX33" s="21">
        <f t="shared" si="6"/>
        <v>21.071361274077411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294</v>
      </c>
      <c r="BB33" s="12">
        <f>VLOOKUP(A33,'Données projet'!$A$87:$I$107,9,0)</f>
        <v>10.6</v>
      </c>
      <c r="BC33" s="12">
        <f t="array" ref="BC33">INDEX(BB:BB,MIN(IF(ISNUMBER(BB33:BB229),ROW(BB33:BB229),"")))</f>
        <v>10.6</v>
      </c>
      <c r="BD33" s="12">
        <f>IF('Données projet'!$A$88&gt;35,BD32+BC33-BL32,IF(A33&lt;'Données projet'!$A$88,$BA$205^A33,IF(A33='Données projet'!$A$88,'Données projet'!$B$88,BD32+BC33-BL32)))</f>
        <v>294.00000000000011</v>
      </c>
      <c r="BE33" s="13">
        <f>BD33*VLOOKUP('Données projet'!$B$11,Paramètres!$A$1:$I$89,3,0)*VLOOKUP('Données projet'!$B$11,Paramètres!$A$1:$I$89,5,0)</f>
        <v>266.01120000000009</v>
      </c>
      <c r="BF33" s="13">
        <f t="shared" si="37"/>
        <v>64.002013376125717</v>
      </c>
      <c r="BG33" s="20">
        <f t="shared" si="7"/>
        <v>574.77301329675242</v>
      </c>
      <c r="BH33" s="59">
        <f t="shared" si="8"/>
        <v>868.10634663008568</v>
      </c>
      <c r="BI33" s="59">
        <f ca="1">AVERAGE(OFFSET($BH$3,0,0,'Données projet'!$E$11+1,1))-AVERAGE(OFFSET($H$3,0,0,'Données projet'!$E$11+1,1))</f>
        <v>436.23918637269577</v>
      </c>
      <c r="BJ33" s="59">
        <f t="shared" si="38"/>
        <v>611.43967996341894</v>
      </c>
      <c r="BK33" s="15">
        <f>IF(ISNA(VLOOKUP(A33,'Données projet'!$A$87:$I$107,3,0)),0,VLOOKUP(A33,'Données projet'!$A$87:$I$107,3,0))</f>
        <v>6</v>
      </c>
      <c r="BL33" s="15">
        <f>IF(ISNA(VLOOKUP(A33,'Données projet'!$A$87:$I$107,4,0)),0,VLOOKUP(A33,'Données projet'!$A$87:$I$107,4,0))</f>
        <v>14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11.357590042057994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11.357590042057994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149</v>
      </c>
      <c r="BZ33" s="13">
        <f>BY33*VLOOKUP('Données projet'!$B$12,Paramètres!$A$1:$I$89,3,0)*VLOOKUP('Données projet'!$B$12,Paramètres!$A$1:$I$89,5,0)</f>
        <v>125.51760000000002</v>
      </c>
      <c r="CA33" s="13">
        <f t="shared" si="39"/>
        <v>32.95850265342969</v>
      </c>
      <c r="CB33" s="20">
        <f t="shared" si="10"/>
        <v>276.01254545472335</v>
      </c>
      <c r="CC33" s="59">
        <f t="shared" si="11"/>
        <v>569.34587878805667</v>
      </c>
      <c r="CD33" s="59">
        <f ca="1">AVERAGE(OFFSET($CC$3,0,0,'Données projet'!$E$12+1,1))-AVERAGE(OFFSET($H$3,0,0,'Données projet'!$E$12+1,1))</f>
        <v>507.79096804746297</v>
      </c>
      <c r="CE33" s="59">
        <f t="shared" si="40"/>
        <v>312.67921212138998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318.97291652986593</v>
      </c>
      <c r="T34" s="59">
        <f t="shared" si="34"/>
        <v>338.19413170988122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18.700000000000006</v>
      </c>
      <c r="AI34" s="13">
        <f>IF('Données projet'!$A$62&gt;35,AI33+AH34-AQ33,IF(A34&lt;'Données projet'!$A$62,$AF$205^A34,IF(A34='Données projet'!$A$62,'Données projet'!$B$62,AI33+AH34-AQ33)))</f>
        <v>248.50000000000006</v>
      </c>
      <c r="AJ34" s="13">
        <f>AI34*VLOOKUP('Données projet'!$B$10,Paramètres!$A$1:$I$89,3,0)*VLOOKUP('Données projet'!$B$10,Paramètres!$A$1:$I$89,5,0)</f>
        <v>148.60300000000004</v>
      </c>
      <c r="AK34" s="13">
        <f t="shared" si="35"/>
        <v>38.260939676613795</v>
      </c>
      <c r="AL34" s="20">
        <f t="shared" si="4"/>
        <v>325.45469493676904</v>
      </c>
      <c r="AM34" s="59">
        <f t="shared" si="5"/>
        <v>618.78802827010236</v>
      </c>
      <c r="AN34" s="59">
        <f ca="1">AVERAGE(OFFSET($AM$3,0,0,'Données projet'!$E$10+1,1))-AVERAGE(OFFSET($H$3,0,0,'Données projet'!$E$10+1,1))</f>
        <v>318.97291652986593</v>
      </c>
      <c r="AO34" s="59">
        <f t="shared" si="36"/>
        <v>338.19413170988122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12.897848830877566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5.5971282691055855</v>
      </c>
      <c r="AX34" s="21">
        <f t="shared" si="6"/>
        <v>18.494977099983153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8.6</v>
      </c>
      <c r="BD34" s="12">
        <f>IF('Données projet'!$A$88&gt;35,BD33+BC34-BL33,IF(A34&lt;'Données projet'!$A$88,$BA$205^A34,IF(A34='Données projet'!$A$88,'Données projet'!$B$88,BD33+BC34-BL33)))</f>
        <v>288.60000000000014</v>
      </c>
      <c r="BE34" s="13">
        <f>BD34*VLOOKUP('Données projet'!$B$11,Paramètres!$A$1:$I$89,3,0)*VLOOKUP('Données projet'!$B$11,Paramètres!$A$1:$I$89,5,0)</f>
        <v>261.12528000000009</v>
      </c>
      <c r="BF34" s="13">
        <f t="shared" si="37"/>
        <v>62.962181856353716</v>
      </c>
      <c r="BG34" s="20">
        <f t="shared" si="7"/>
        <v>564.45232939981622</v>
      </c>
      <c r="BH34" s="59">
        <f t="shared" si="8"/>
        <v>857.78566273314959</v>
      </c>
      <c r="BI34" s="59">
        <f ca="1">AVERAGE(OFFSET($BH$3,0,0,'Données projet'!$E$11+1,1))-AVERAGE(OFFSET($H$3,0,0,'Données projet'!$E$11+1,1))</f>
        <v>436.23918637269577</v>
      </c>
      <c r="BJ34" s="59">
        <f t="shared" si="38"/>
        <v>611.43967996341894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11.134874628779134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11.134874628779134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</v>
      </c>
      <c r="BY34" s="12">
        <f>IF('Données projet'!$A$114&gt;35,BY33+BX34-CG33,IF(A34&lt;'Données projet'!$A$114,$BV$205^A34,IF(A34='Données projet'!$A$114,'Données projet'!$B$114,BY33+BX34-CG33)))</f>
        <v>126</v>
      </c>
      <c r="BZ34" s="13">
        <f>BY34*VLOOKUP('Données projet'!$B$12,Paramètres!$A$1:$I$89,3,0)*VLOOKUP('Données projet'!$B$12,Paramètres!$A$1:$I$89,5,0)</f>
        <v>106.14240000000001</v>
      </c>
      <c r="CA34" s="13">
        <f t="shared" si="39"/>
        <v>28.420224211524975</v>
      </c>
      <c r="CB34" s="20">
        <f t="shared" si="10"/>
        <v>234.36323716840602</v>
      </c>
      <c r="CC34" s="59">
        <f t="shared" si="11"/>
        <v>527.6965705017393</v>
      </c>
      <c r="CD34" s="59">
        <f ca="1">AVERAGE(OFFSET($CC$3,0,0,'Données projet'!$E$12+1,1))-AVERAGE(OFFSET($H$3,0,0,'Données projet'!$E$12+1,1))</f>
        <v>507.79096804746297</v>
      </c>
      <c r="CE34" s="59">
        <f t="shared" si="40"/>
        <v>312.67921212138998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318.97291652986593</v>
      </c>
      <c r="T35" s="59">
        <f t="shared" si="34"/>
        <v>338.19413170988122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18.700000000000006</v>
      </c>
      <c r="AI35" s="13">
        <f>IF('Données projet'!$A$62&gt;35,AI34+AH35-AQ34,IF(A35&lt;'Données projet'!$A$62,$AF$205^A35,IF(A35='Données projet'!$A$62,'Données projet'!$B$62,AI34+AH35-AQ34)))</f>
        <v>267.20000000000005</v>
      </c>
      <c r="AJ35" s="13">
        <f>AI35*VLOOKUP('Données projet'!$B$10,Paramètres!$A$1:$I$89,3,0)*VLOOKUP('Données projet'!$B$10,Paramètres!$A$1:$I$89,5,0)</f>
        <v>159.78560000000004</v>
      </c>
      <c r="AK35" s="13">
        <f t="shared" si="35"/>
        <v>40.794153114967841</v>
      </c>
      <c r="AL35" s="20">
        <f t="shared" si="4"/>
        <v>349.3430700085691</v>
      </c>
      <c r="AM35" s="59">
        <f t="shared" si="5"/>
        <v>642.67640334190241</v>
      </c>
      <c r="AN35" s="59">
        <f ca="1">AVERAGE(OFFSET($AM$3,0,0,'Données projet'!$E$10+1,1))-AVERAGE(OFFSET($H$3,0,0,'Données projet'!$E$10+1,1))</f>
        <v>318.97291652986593</v>
      </c>
      <c r="AO35" s="59">
        <f t="shared" si="36"/>
        <v>338.19413170988122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12.644929882215051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3.9577673542554832</v>
      </c>
      <c r="AX35" s="21">
        <f t="shared" si="6"/>
        <v>16.602697236470533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8.6</v>
      </c>
      <c r="BD35" s="12">
        <f>IF('Données projet'!$A$88&gt;35,BD34+BC35-BL34,IF(A35&lt;'Données projet'!$A$88,$BA$205^A35,IF(A35='Données projet'!$A$88,'Données projet'!$B$88,BD34+BC35-BL34)))</f>
        <v>297.20000000000016</v>
      </c>
      <c r="BE35" s="13">
        <f>BD35*VLOOKUP('Données projet'!$B$11,Paramètres!$A$1:$I$89,3,0)*VLOOKUP('Données projet'!$B$11,Paramètres!$A$1:$I$89,5,0)</f>
        <v>268.90656000000013</v>
      </c>
      <c r="BF35" s="13">
        <f t="shared" si="37"/>
        <v>64.617158945843826</v>
      </c>
      <c r="BG35" s="20">
        <f t="shared" si="7"/>
        <v>580.88714383067816</v>
      </c>
      <c r="BH35" s="59">
        <f t="shared" si="8"/>
        <v>874.22047716401153</v>
      </c>
      <c r="BI35" s="59">
        <f ca="1">AVERAGE(OFFSET($BH$3,0,0,'Données projet'!$E$11+1,1))-AVERAGE(OFFSET($H$3,0,0,'Données projet'!$E$11+1,1))</f>
        <v>436.23918637269577</v>
      </c>
      <c r="BJ35" s="59">
        <f t="shared" si="38"/>
        <v>611.43967996341894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10.916526528911684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10.916526528911684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</v>
      </c>
      <c r="BY35" s="12">
        <f>IF('Données projet'!$A$114&gt;35,BY34+BX35-CG34,IF(A35&lt;'Données projet'!$A$114,$BV$205^A35,IF(A35='Données projet'!$A$114,'Données projet'!$B$114,BY34+BX35-CG34)))</f>
        <v>137</v>
      </c>
      <c r="BZ35" s="13">
        <f>BY35*VLOOKUP('Données projet'!$B$12,Paramètres!$A$1:$I$89,3,0)*VLOOKUP('Données projet'!$B$12,Paramètres!$A$1:$I$89,5,0)</f>
        <v>115.40880000000001</v>
      </c>
      <c r="CA35" s="13">
        <f t="shared" si="39"/>
        <v>30.60175820334798</v>
      </c>
      <c r="CB35" s="20">
        <f t="shared" si="10"/>
        <v>254.30172220416441</v>
      </c>
      <c r="CC35" s="59">
        <f t="shared" si="11"/>
        <v>547.63505553749769</v>
      </c>
      <c r="CD35" s="59">
        <f ca="1">AVERAGE(OFFSET($CC$3,0,0,'Données projet'!$E$12+1,1))-AVERAGE(OFFSET($H$3,0,0,'Données projet'!$E$12+1,1))</f>
        <v>507.79096804746297</v>
      </c>
      <c r="CE35" s="59">
        <f t="shared" si="40"/>
        <v>312.67921212138998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318.97291652986593</v>
      </c>
      <c r="T36" s="59">
        <f t="shared" si="34"/>
        <v>338.19413170988122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18.700000000000006</v>
      </c>
      <c r="AI36" s="13">
        <f>IF('Données projet'!$A$62&gt;35,AI35+AH36-AQ35,IF(A36&lt;'Données projet'!$A$62,$AF$205^A36,IF(A36='Données projet'!$A$62,'Données projet'!$B$62,AI35+AH36-AQ35)))</f>
        <v>285.90000000000003</v>
      </c>
      <c r="AJ36" s="13">
        <f>AI36*VLOOKUP('Données projet'!$B$10,Paramètres!$A$1:$I$89,3,0)*VLOOKUP('Données projet'!$B$10,Paramètres!$A$1:$I$89,5,0)</f>
        <v>170.96820000000002</v>
      </c>
      <c r="AK36" s="13">
        <f t="shared" si="35"/>
        <v>43.306796452756018</v>
      </c>
      <c r="AL36" s="20">
        <f t="shared" si="4"/>
        <v>373.19561882188344</v>
      </c>
      <c r="AM36" s="59">
        <f t="shared" si="5"/>
        <v>666.52895215521676</v>
      </c>
      <c r="AN36" s="59">
        <f ca="1">AVERAGE(OFFSET($AM$3,0,0,'Données projet'!$E$10+1,1))-AVERAGE(OFFSET($H$3,0,0,'Données projet'!$E$10+1,1))</f>
        <v>318.97291652986593</v>
      </c>
      <c r="AO36" s="59">
        <f t="shared" si="36"/>
        <v>338.19413170988122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12.39697051987048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2.7985641345527932</v>
      </c>
      <c r="AX36" s="21">
        <f t="shared" si="6"/>
        <v>15.195534654423273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8.6</v>
      </c>
      <c r="BD36" s="12">
        <f>IF('Données projet'!$A$88&gt;35,BD35+BC36-BL35,IF(A36&lt;'Données projet'!$A$88,$BA$205^A36,IF(A36='Données projet'!$A$88,'Données projet'!$B$88,BD35+BC36-BL35)))</f>
        <v>305.80000000000018</v>
      </c>
      <c r="BE36" s="13">
        <f>BD36*VLOOKUP('Données projet'!$B$11,Paramètres!$A$1:$I$89,3,0)*VLOOKUP('Données projet'!$B$11,Paramètres!$A$1:$I$89,5,0)</f>
        <v>276.68784000000016</v>
      </c>
      <c r="BF36" s="13">
        <f t="shared" si="37"/>
        <v>66.266570237082931</v>
      </c>
      <c r="BG36" s="20">
        <f t="shared" si="7"/>
        <v>597.31226449625308</v>
      </c>
      <c r="BH36" s="59">
        <f t="shared" si="8"/>
        <v>890.64559782958645</v>
      </c>
      <c r="BI36" s="59">
        <f ca="1">AVERAGE(OFFSET($BH$3,0,0,'Données projet'!$E$11+1,1))-AVERAGE(OFFSET($H$3,0,0,'Données projet'!$E$11+1,1))</f>
        <v>436.23918637269577</v>
      </c>
      <c r="BJ36" s="59">
        <f t="shared" si="38"/>
        <v>611.43967996341894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10.702460102103442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10.702460102103442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</v>
      </c>
      <c r="BY36" s="12">
        <f>IF('Données projet'!$A$114&gt;35,BY35+BX36-CG35,IF(A36&lt;'Données projet'!$A$114,$BV$205^A36,IF(A36='Données projet'!$A$114,'Données projet'!$B$114,BY35+BX36-CG35)))</f>
        <v>148</v>
      </c>
      <c r="BZ36" s="13">
        <f>BY36*VLOOKUP('Données projet'!$B$12,Paramètres!$A$1:$I$89,3,0)*VLOOKUP('Données projet'!$B$12,Paramètres!$A$1:$I$89,5,0)</f>
        <v>124.6752</v>
      </c>
      <c r="CA36" s="13">
        <f t="shared" si="39"/>
        <v>32.762975561628714</v>
      </c>
      <c r="CB36" s="20">
        <f t="shared" si="10"/>
        <v>274.20482243650338</v>
      </c>
      <c r="CC36" s="59">
        <f t="shared" si="11"/>
        <v>567.53815576983675</v>
      </c>
      <c r="CD36" s="59">
        <f ca="1">AVERAGE(OFFSET($CC$3,0,0,'Données projet'!$E$12+1,1))-AVERAGE(OFFSET($H$3,0,0,'Données projet'!$E$12+1,1))</f>
        <v>507.79096804746297</v>
      </c>
      <c r="CE36" s="59">
        <f t="shared" si="40"/>
        <v>312.67921212138998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318.97291652986593</v>
      </c>
      <c r="T37" s="59">
        <f t="shared" si="34"/>
        <v>338.19413170988122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304.60000000000002</v>
      </c>
      <c r="AG37" s="12">
        <f>VLOOKUP(A37,'Données projet'!$A$61:$I$81,9,0)</f>
        <v>18.700000000000006</v>
      </c>
      <c r="AH37" s="12">
        <f t="array" ref="AH37">INDEX(AG:AG,MIN(IF(ISNUMBER(AG37:AG233),ROW(AG37:AG233),"")))</f>
        <v>18.700000000000006</v>
      </c>
      <c r="AI37" s="13">
        <f>IF('Données projet'!$A$62&gt;35,AI36+AH37-AQ36,IF(A37&lt;'Données projet'!$A$62,$AF$205^A37,IF(A37='Données projet'!$A$62,'Données projet'!$B$62,AI36+AH37-AQ36)))</f>
        <v>304.60000000000002</v>
      </c>
      <c r="AJ37" s="13">
        <f>AI37*VLOOKUP('Données projet'!$B$10,Paramètres!$A$1:$I$89,3,0)*VLOOKUP('Données projet'!$B$10,Paramètres!$A$1:$I$89,5,0)</f>
        <v>182.15080000000003</v>
      </c>
      <c r="AK37" s="13">
        <f t="shared" si="35"/>
        <v>45.800368240506849</v>
      </c>
      <c r="AL37" s="20">
        <f t="shared" si="4"/>
        <v>397.0149513522162</v>
      </c>
      <c r="AM37" s="59">
        <f t="shared" si="5"/>
        <v>690.34828468554952</v>
      </c>
      <c r="AN37" s="59">
        <f ca="1">AVERAGE(OFFSET($AM$3,0,0,'Données projet'!$E$10+1,1))-AVERAGE(OFFSET($H$3,0,0,'Données projet'!$E$10+1,1))</f>
        <v>318.97291652986593</v>
      </c>
      <c r="AO37" s="59">
        <f t="shared" si="36"/>
        <v>338.19413170988122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59.9</v>
      </c>
      <c r="AR37" s="16">
        <f>IF(ISNA(VLOOKUP(A37,'Données projet'!$A$61:$I$81,5,0)),0%,VLOOKUP(A37,'Données projet'!$A$61:$I$81,5,0)*VLOOKUP('Données projet'!$B$10,Paramètres!$A$1:$I$89,7,0))</f>
        <v>0.315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27.121981783002866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10.090241145899245</v>
      </c>
      <c r="AX37" s="21">
        <f t="shared" si="6"/>
        <v>37.212222928902108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8.6</v>
      </c>
      <c r="BD37" s="12">
        <f>IF('Données projet'!$A$88&gt;35,BD36+BC37-BL36,IF(A37&lt;'Données projet'!$A$88,$BA$205^A37,IF(A37='Données projet'!$A$88,'Données projet'!$B$88,BD36+BC37-BL36)))</f>
        <v>314.4000000000002</v>
      </c>
      <c r="BE37" s="13">
        <f>BD37*VLOOKUP('Données projet'!$B$11,Paramètres!$A$1:$I$89,3,0)*VLOOKUP('Données projet'!$B$11,Paramètres!$A$1:$I$89,5,0)</f>
        <v>284.4691200000002</v>
      </c>
      <c r="BF37" s="13">
        <f t="shared" si="37"/>
        <v>67.910590237379097</v>
      </c>
      <c r="BG37" s="20">
        <f t="shared" si="7"/>
        <v>613.72799533010232</v>
      </c>
      <c r="BH37" s="59">
        <f t="shared" si="8"/>
        <v>907.06132866343569</v>
      </c>
      <c r="BI37" s="59">
        <f ca="1">AVERAGE(OFFSET($BH$3,0,0,'Données projet'!$E$11+1,1))-AVERAGE(OFFSET($H$3,0,0,'Données projet'!$E$11+1,1))</f>
        <v>436.23918637269577</v>
      </c>
      <c r="BJ37" s="59">
        <f t="shared" si="38"/>
        <v>611.43967996341894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10.492591387357283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10.492591387357283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</v>
      </c>
      <c r="BY37" s="12">
        <f>IF('Données projet'!$A$114&gt;35,BY36+BX37-CG36,IF(A37&lt;'Données projet'!$A$114,$BV$205^A37,IF(A37='Données projet'!$A$114,'Données projet'!$B$114,BY36+BX37-CG36)))</f>
        <v>159</v>
      </c>
      <c r="BZ37" s="13">
        <f>BY37*VLOOKUP('Données projet'!$B$12,Paramètres!$A$1:$I$89,3,0)*VLOOKUP('Données projet'!$B$12,Paramètres!$A$1:$I$89,5,0)</f>
        <v>133.94159999999999</v>
      </c>
      <c r="CA37" s="13">
        <f t="shared" si="39"/>
        <v>34.905558014330531</v>
      </c>
      <c r="CB37" s="20">
        <f t="shared" si="10"/>
        <v>294.07546687495898</v>
      </c>
      <c r="CC37" s="59">
        <f t="shared" si="11"/>
        <v>587.40880020829229</v>
      </c>
      <c r="CD37" s="59">
        <f ca="1">AVERAGE(OFFSET($CC$3,0,0,'Données projet'!$E$12+1,1))-AVERAGE(OFFSET($H$3,0,0,'Données projet'!$E$12+1,1))</f>
        <v>507.79096804746297</v>
      </c>
      <c r="CE37" s="59">
        <f t="shared" si="40"/>
        <v>312.67921212138998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318.97291652986593</v>
      </c>
      <c r="T38" s="59">
        <f t="shared" si="34"/>
        <v>338.19413170988122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14.850000000000009</v>
      </c>
      <c r="AI38" s="13">
        <f>IF('Données projet'!$A$62&gt;35,AI37+AH38-AQ37,IF(A38&lt;'Données projet'!$A$62,$AF$205^A38,IF(A38='Données projet'!$A$62,'Données projet'!$B$62,AI37+AH38-AQ37)))</f>
        <v>259.55000000000007</v>
      </c>
      <c r="AJ38" s="13">
        <f>AI38*VLOOKUP('Données projet'!$B$10,Paramètres!$A$1:$I$89,3,0)*VLOOKUP('Données projet'!$B$10,Paramètres!$A$1:$I$89,5,0)</f>
        <v>155.21090000000007</v>
      </c>
      <c r="AK38" s="13">
        <f t="shared" si="35"/>
        <v>39.760417498033199</v>
      </c>
      <c r="AL38" s="20">
        <f t="shared" si="4"/>
        <v>339.57504464240793</v>
      </c>
      <c r="AM38" s="59">
        <f t="shared" si="5"/>
        <v>632.90837797574125</v>
      </c>
      <c r="AN38" s="59">
        <f ca="1">AVERAGE(OFFSET($AM$3,0,0,'Données projet'!$E$10+1,1))-AVERAGE(OFFSET($H$3,0,0,'Données projet'!$E$10+1,1))</f>
        <v>318.97291652986593</v>
      </c>
      <c r="AO38" s="59">
        <f t="shared" si="36"/>
        <v>338.19413170988122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26.590136263013605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7.1348779380728766</v>
      </c>
      <c r="AX38" s="21">
        <f t="shared" si="6"/>
        <v>33.725014201086481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323</v>
      </c>
      <c r="BB38" s="12">
        <f>VLOOKUP(A38,'Données projet'!$A$87:$I$107,9,0)</f>
        <v>8.6</v>
      </c>
      <c r="BC38" s="12">
        <f t="array" ref="BC38">INDEX(BB:BB,MIN(IF(ISNUMBER(BB38:BB234),ROW(BB38:BB234),"")))</f>
        <v>8.6</v>
      </c>
      <c r="BD38" s="12">
        <f>IF('Données projet'!$A$88&gt;35,BD37+BC38-BL37,IF(A38&lt;'Données projet'!$A$88,$BA$205^A38,IF(A38='Données projet'!$A$88,'Données projet'!$B$88,BD37+BC38-BL37)))</f>
        <v>323.00000000000023</v>
      </c>
      <c r="BE38" s="13">
        <f>BD38*VLOOKUP('Données projet'!$B$11,Paramètres!$A$1:$I$89,3,0)*VLOOKUP('Données projet'!$B$11,Paramètres!$A$1:$I$89,5,0)</f>
        <v>292.25040000000018</v>
      </c>
      <c r="BF38" s="13">
        <f t="shared" si="37"/>
        <v>69.549383363839993</v>
      </c>
      <c r="BG38" s="20">
        <f t="shared" si="7"/>
        <v>630.13462269202159</v>
      </c>
      <c r="BH38" s="59">
        <f t="shared" si="8"/>
        <v>923.46795602535485</v>
      </c>
      <c r="BI38" s="59">
        <f ca="1">AVERAGE(OFFSET($BH$3,0,0,'Données projet'!$E$11+1,1))-AVERAGE(OFFSET($H$3,0,0,'Données projet'!$E$11+1,1))</f>
        <v>436.23918637269577</v>
      </c>
      <c r="BJ38" s="59">
        <f t="shared" si="38"/>
        <v>611.43967996341894</v>
      </c>
      <c r="BK38" s="15">
        <f>IF(ISNA(VLOOKUP(A38,'Données projet'!$A$87:$I$107,3,0)),0,VLOOKUP(A38,'Données projet'!$A$87:$I$107,3,0))</f>
        <v>7</v>
      </c>
      <c r="BL38" s="15">
        <f>IF(ISNA(VLOOKUP(A38,'Données projet'!$A$87:$I$107,4,0)),0,VLOOKUP(A38,'Données projet'!$A$87:$I$107,4,0))</f>
        <v>11</v>
      </c>
      <c r="BM38" s="16">
        <f>IF(ISNA(VLOOKUP(A38,'Données projet'!$A$87:$I$107,5,0)),0%,VLOOKUP(A38,'Données projet'!$A$87:$I$107,5,0)*VLOOKUP('Données projet'!$B$11,Paramètres!$A$1:$I$89,7,0))</f>
        <v>0.3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13.587595748124684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13.587595748124684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</v>
      </c>
      <c r="BY38" s="12">
        <f>IF('Données projet'!$A$114&gt;35,BY37+BX38-CG37,IF(A38&lt;'Données projet'!$A$114,$BV$205^A38,IF(A38='Données projet'!$A$114,'Données projet'!$B$114,BY37+BX38-CG37)))</f>
        <v>170</v>
      </c>
      <c r="BZ38" s="13">
        <f>BY38*VLOOKUP('Données projet'!$B$12,Paramètres!$A$1:$I$89,3,0)*VLOOKUP('Données projet'!$B$12,Paramètres!$A$1:$I$89,5,0)</f>
        <v>143.20800000000003</v>
      </c>
      <c r="CA38" s="13">
        <f t="shared" si="39"/>
        <v>37.030941422835831</v>
      </c>
      <c r="CB38" s="20">
        <f t="shared" si="10"/>
        <v>313.91615631143912</v>
      </c>
      <c r="CC38" s="59">
        <f t="shared" si="11"/>
        <v>607.24948964477244</v>
      </c>
      <c r="CD38" s="59">
        <f ca="1">AVERAGE(OFFSET($CC$3,0,0,'Données projet'!$E$12+1,1))-AVERAGE(OFFSET($H$3,0,0,'Données projet'!$E$12+1,1))</f>
        <v>507.79096804746297</v>
      </c>
      <c r="CE38" s="59">
        <f t="shared" si="40"/>
        <v>312.67921212138998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318.97291652986593</v>
      </c>
      <c r="T39" s="59">
        <f t="shared" si="34"/>
        <v>338.19413170988122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14.850000000000009</v>
      </c>
      <c r="AI39" s="13">
        <f>IF('Données projet'!$A$62&gt;35,AI38+AH39-AQ38,IF(A39&lt;'Données projet'!$A$62,$AF$205^A39,IF(A39='Données projet'!$A$62,'Données projet'!$B$62,AI38+AH39-AQ38)))</f>
        <v>274.40000000000009</v>
      </c>
      <c r="AJ39" s="13">
        <f>AI39*VLOOKUP('Données projet'!$B$10,Paramètres!$A$1:$I$89,3,0)*VLOOKUP('Données projet'!$B$10,Paramètres!$A$1:$I$89,5,0)</f>
        <v>164.09120000000007</v>
      </c>
      <c r="AK39" s="13">
        <f t="shared" si="35"/>
        <v>41.763936620208121</v>
      </c>
      <c r="AL39" s="20">
        <f t="shared" si="4"/>
        <v>358.5310296135292</v>
      </c>
      <c r="AM39" s="59">
        <f t="shared" si="5"/>
        <v>651.86436294686246</v>
      </c>
      <c r="AN39" s="59">
        <f ca="1">AVERAGE(OFFSET($AM$3,0,0,'Données projet'!$E$10+1,1))-AVERAGE(OFFSET($H$3,0,0,'Données projet'!$E$10+1,1))</f>
        <v>318.97291652986593</v>
      </c>
      <c r="AO39" s="59">
        <f t="shared" si="36"/>
        <v>338.19413170988122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26.068719909277597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5.0451205729496236</v>
      </c>
      <c r="AX39" s="21">
        <f t="shared" si="6"/>
        <v>31.113840482227221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7.6</v>
      </c>
      <c r="BD39" s="12">
        <f>IF('Données projet'!$A$88&gt;35,BD38+BC39-BL38,IF(A39&lt;'Données projet'!$A$88,$BA$205^A39,IF(A39='Données projet'!$A$88,'Données projet'!$B$88,BD38+BC39-BL38)))</f>
        <v>319.60000000000025</v>
      </c>
      <c r="BE39" s="13">
        <f>BD39*VLOOKUP('Données projet'!$B$11,Paramètres!$A$1:$I$89,3,0)*VLOOKUP('Données projet'!$B$11,Paramètres!$A$1:$I$89,5,0)</f>
        <v>289.17408000000023</v>
      </c>
      <c r="BF39" s="13">
        <f t="shared" si="37"/>
        <v>68.902103026957732</v>
      </c>
      <c r="BG39" s="20">
        <f t="shared" si="7"/>
        <v>623.64935210528506</v>
      </c>
      <c r="BH39" s="59">
        <f t="shared" si="8"/>
        <v>916.98268543861832</v>
      </c>
      <c r="BI39" s="59">
        <f ca="1">AVERAGE(OFFSET($BH$3,0,0,'Données projet'!$E$11+1,1))-AVERAGE(OFFSET($H$3,0,0,'Données projet'!$E$11+1,1))</f>
        <v>436.23918637269577</v>
      </c>
      <c r="BJ39" s="59">
        <f t="shared" si="38"/>
        <v>611.43967996341894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13.321151283119031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13.321151283119031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</v>
      </c>
      <c r="BY39" s="12">
        <f>IF('Données projet'!$A$114&gt;35,BY38+BX39-CG38,IF(A39&lt;'Données projet'!$A$114,$BV$205^A39,IF(A39='Données projet'!$A$114,'Données projet'!$B$114,BY38+BX39-CG38)))</f>
        <v>181</v>
      </c>
      <c r="BZ39" s="13">
        <f>BY39*VLOOKUP('Données projet'!$B$12,Paramètres!$A$1:$I$89,3,0)*VLOOKUP('Données projet'!$B$12,Paramètres!$A$1:$I$89,5,0)</f>
        <v>152.47440000000003</v>
      </c>
      <c r="CA39" s="13">
        <f t="shared" si="39"/>
        <v>39.140365323908171</v>
      </c>
      <c r="CB39" s="20">
        <f t="shared" si="10"/>
        <v>333.72904960580678</v>
      </c>
      <c r="CC39" s="59">
        <f t="shared" si="11"/>
        <v>627.06238293914009</v>
      </c>
      <c r="CD39" s="59">
        <f ca="1">AVERAGE(OFFSET($CC$3,0,0,'Données projet'!$E$12+1,1))-AVERAGE(OFFSET($H$3,0,0,'Données projet'!$E$12+1,1))</f>
        <v>507.79096804746297</v>
      </c>
      <c r="CE39" s="59">
        <f t="shared" si="40"/>
        <v>312.67921212138998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318.97291652986593</v>
      </c>
      <c r="T40" s="59">
        <f t="shared" si="34"/>
        <v>338.19413170988122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14.850000000000009</v>
      </c>
      <c r="AI40" s="13">
        <f>IF('Données projet'!$A$62&gt;35,AI39+AH40-AQ39,IF(A40&lt;'Données projet'!$A$62,$AF$205^A40,IF(A40='Données projet'!$A$62,'Données projet'!$B$62,AI39+AH40-AQ39)))</f>
        <v>289.25000000000011</v>
      </c>
      <c r="AJ40" s="13">
        <f>AI40*VLOOKUP('Données projet'!$B$10,Paramètres!$A$1:$I$89,3,0)*VLOOKUP('Données projet'!$B$10,Paramètres!$A$1:$I$89,5,0)</f>
        <v>172.97150000000008</v>
      </c>
      <c r="AK40" s="13">
        <f t="shared" si="35"/>
        <v>43.754868068248705</v>
      </c>
      <c r="AL40" s="20">
        <f t="shared" si="4"/>
        <v>377.46509105219997</v>
      </c>
      <c r="AM40" s="59">
        <f t="shared" si="5"/>
        <v>670.79842438553328</v>
      </c>
      <c r="AN40" s="59">
        <f ca="1">AVERAGE(OFFSET($AM$3,0,0,'Données projet'!$E$10+1,1))-AVERAGE(OFFSET($H$3,0,0,'Données projet'!$E$10+1,1))</f>
        <v>318.97291652986593</v>
      </c>
      <c r="AO40" s="59">
        <f t="shared" si="36"/>
        <v>338.19413170988122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25.557528212205778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3.5674389690364392</v>
      </c>
      <c r="AX40" s="21">
        <f t="shared" si="6"/>
        <v>29.124967181242216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7.6</v>
      </c>
      <c r="BD40" s="12">
        <f>IF('Données projet'!$A$88&gt;35,BD39+BC40-BL39,IF(A40&lt;'Données projet'!$A$88,$BA$205^A40,IF(A40='Données projet'!$A$88,'Données projet'!$B$88,BD39+BC40-BL39)))</f>
        <v>327.20000000000027</v>
      </c>
      <c r="BE40" s="13">
        <f>BD40*VLOOKUP('Données projet'!$B$11,Paramètres!$A$1:$I$89,3,0)*VLOOKUP('Données projet'!$B$11,Paramètres!$A$1:$I$89,5,0)</f>
        <v>296.05056000000025</v>
      </c>
      <c r="BF40" s="13">
        <f t="shared" si="37"/>
        <v>70.347871650924077</v>
      </c>
      <c r="BG40" s="20">
        <f t="shared" si="7"/>
        <v>638.1439351253598</v>
      </c>
      <c r="BH40" s="59">
        <f t="shared" si="8"/>
        <v>931.47726845869306</v>
      </c>
      <c r="BI40" s="59">
        <f ca="1">AVERAGE(OFFSET($BH$3,0,0,'Données projet'!$E$11+1,1))-AVERAGE(OFFSET($H$3,0,0,'Données projet'!$E$11+1,1))</f>
        <v>436.23918637269577</v>
      </c>
      <c r="BJ40" s="59">
        <f t="shared" si="38"/>
        <v>611.43967996341894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13.059931631557061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13.059931631557061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</v>
      </c>
      <c r="BY40" s="12">
        <f>IF('Données projet'!$A$114&gt;35,BY39+BX40-CG39,IF(A40&lt;'Données projet'!$A$114,$BV$205^A40,IF(A40='Données projet'!$A$114,'Données projet'!$B$114,BY39+BX40-CG39)))</f>
        <v>192</v>
      </c>
      <c r="BZ40" s="13">
        <f>BY40*VLOOKUP('Données projet'!$B$12,Paramètres!$A$1:$I$89,3,0)*VLOOKUP('Données projet'!$B$12,Paramètres!$A$1:$I$89,5,0)</f>
        <v>161.74080000000001</v>
      </c>
      <c r="CA40" s="13">
        <f t="shared" si="39"/>
        <v>41.234910079352424</v>
      </c>
      <c r="CB40" s="20">
        <f t="shared" si="10"/>
        <v>353.51602838820548</v>
      </c>
      <c r="CC40" s="59">
        <f t="shared" si="11"/>
        <v>646.8493617215388</v>
      </c>
      <c r="CD40" s="59">
        <f ca="1">AVERAGE(OFFSET($CC$3,0,0,'Données projet'!$E$12+1,1))-AVERAGE(OFFSET($H$3,0,0,'Données projet'!$E$12+1,1))</f>
        <v>507.79096804746297</v>
      </c>
      <c r="CE40" s="59">
        <f t="shared" si="40"/>
        <v>312.67921212138998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318.97291652986593</v>
      </c>
      <c r="T41" s="59">
        <f t="shared" si="34"/>
        <v>338.19413170988122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14.850000000000009</v>
      </c>
      <c r="AI41" s="13">
        <f>IF('Données projet'!$A$62&gt;35,AI40+AH41-AQ40,IF(A41&lt;'Données projet'!$A$62,$AF$205^A41,IF(A41='Données projet'!$A$62,'Données projet'!$B$62,AI40+AH41-AQ40)))</f>
        <v>304.10000000000014</v>
      </c>
      <c r="AJ41" s="13">
        <f>AI41*VLOOKUP('Données projet'!$B$10,Paramètres!$A$1:$I$89,3,0)*VLOOKUP('Données projet'!$B$10,Paramètres!$A$1:$I$89,5,0)</f>
        <v>181.85180000000011</v>
      </c>
      <c r="AK41" s="13">
        <f t="shared" si="35"/>
        <v>45.733931809167743</v>
      </c>
      <c r="AL41" s="20">
        <f t="shared" si="4"/>
        <v>396.3784829009673</v>
      </c>
      <c r="AM41" s="59">
        <f t="shared" si="5"/>
        <v>689.71181623430061</v>
      </c>
      <c r="AN41" s="59">
        <f ca="1">AVERAGE(OFFSET($AM$3,0,0,'Données projet'!$E$10+1,1))-AVERAGE(OFFSET($H$3,0,0,'Données projet'!$E$10+1,1))</f>
        <v>318.97291652986593</v>
      </c>
      <c r="AO41" s="59">
        <f t="shared" si="36"/>
        <v>338.19413170988122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25.056360672517389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2.5225602864748122</v>
      </c>
      <c r="AX41" s="21">
        <f t="shared" si="6"/>
        <v>27.5789209589922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7.6</v>
      </c>
      <c r="BD41" s="12">
        <f>IF('Données projet'!$A$88&gt;35,BD40+BC41-BL40,IF(A41&lt;'Données projet'!$A$88,$BA$205^A41,IF(A41='Données projet'!$A$88,'Données projet'!$B$88,BD40+BC41-BL40)))</f>
        <v>334.8000000000003</v>
      </c>
      <c r="BE41" s="13">
        <f>BD41*VLOOKUP('Données projet'!$B$11,Paramètres!$A$1:$I$89,3,0)*VLOOKUP('Données projet'!$B$11,Paramètres!$A$1:$I$89,5,0)</f>
        <v>302.92704000000026</v>
      </c>
      <c r="BF41" s="13">
        <f t="shared" si="37"/>
        <v>71.789736305653022</v>
      </c>
      <c r="BG41" s="20">
        <f t="shared" si="7"/>
        <v>652.63171873234603</v>
      </c>
      <c r="BH41" s="59">
        <f t="shared" si="8"/>
        <v>945.9650520656794</v>
      </c>
      <c r="BI41" s="59">
        <f ca="1">AVERAGE(OFFSET($BH$3,0,0,'Données projet'!$E$11+1,1))-AVERAGE(OFFSET($H$3,0,0,'Données projet'!$E$11+1,1))</f>
        <v>436.23918637269577</v>
      </c>
      <c r="BJ41" s="59">
        <f t="shared" si="38"/>
        <v>611.43967996341894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12.803834338033969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12.803834338033969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</v>
      </c>
      <c r="BY41" s="12">
        <f>IF('Données projet'!$A$114&gt;35,BY40+BX41-CG40,IF(A41&lt;'Données projet'!$A$114,$BV$205^A41,IF(A41='Données projet'!$A$114,'Données projet'!$B$114,BY40+BX41-CG40)))</f>
        <v>203</v>
      </c>
      <c r="BZ41" s="13">
        <f>BY41*VLOOKUP('Données projet'!$B$12,Paramètres!$A$1:$I$89,3,0)*VLOOKUP('Données projet'!$B$12,Paramètres!$A$1:$I$89,5,0)</f>
        <v>171.00720000000001</v>
      </c>
      <c r="CA41" s="13">
        <f t="shared" si="39"/>
        <v>43.315525267338089</v>
      </c>
      <c r="CB41" s="20">
        <f t="shared" si="10"/>
        <v>373.27874650728057</v>
      </c>
      <c r="CC41" s="59">
        <f t="shared" si="11"/>
        <v>666.61207984061389</v>
      </c>
      <c r="CD41" s="59">
        <f ca="1">AVERAGE(OFFSET($CC$3,0,0,'Données projet'!$E$12+1,1))-AVERAGE(OFFSET($H$3,0,0,'Données projet'!$E$12+1,1))</f>
        <v>507.79096804746297</v>
      </c>
      <c r="CE41" s="59">
        <f t="shared" si="40"/>
        <v>312.67921212138998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318.97291652986593</v>
      </c>
      <c r="T42" s="59">
        <f t="shared" si="34"/>
        <v>338.19413170988122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14.850000000000009</v>
      </c>
      <c r="AI42" s="13">
        <f>IF('Données projet'!$A$62&gt;35,AI41+AH42-AQ41,IF(A42&lt;'Données projet'!$A$62,$AF$205^A42,IF(A42='Données projet'!$A$62,'Données projet'!$B$62,AI41+AH42-AQ41)))</f>
        <v>318.95000000000016</v>
      </c>
      <c r="AJ42" s="13">
        <f>AI42*VLOOKUP('Données projet'!$B$10,Paramètres!$A$1:$I$89,3,0)*VLOOKUP('Données projet'!$B$10,Paramètres!$A$1:$I$89,5,0)</f>
        <v>190.73210000000009</v>
      </c>
      <c r="AK42" s="13">
        <f t="shared" si="35"/>
        <v>47.701773521629008</v>
      </c>
      <c r="AL42" s="20">
        <f t="shared" si="4"/>
        <v>415.27232971683731</v>
      </c>
      <c r="AM42" s="59">
        <f t="shared" si="5"/>
        <v>708.60566305017062</v>
      </c>
      <c r="AN42" s="59">
        <f ca="1">AVERAGE(OFFSET($AM$3,0,0,'Données projet'!$E$10+1,1))-AVERAGE(OFFSET($H$3,0,0,'Données projet'!$E$10+1,1))</f>
        <v>318.97291652986593</v>
      </c>
      <c r="AO42" s="59">
        <f t="shared" si="36"/>
        <v>338.19413170988122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24.565020722600273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1.7837194845182198</v>
      </c>
      <c r="AX42" s="21">
        <f t="shared" si="6"/>
        <v>26.348740207118492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7.6</v>
      </c>
      <c r="BD42" s="12">
        <f>IF('Données projet'!$A$88&gt;35,BD41+BC42-BL41,IF(A42&lt;'Données projet'!$A$88,$BA$205^A42,IF(A42='Données projet'!$A$88,'Données projet'!$B$88,BD41+BC42-BL41)))</f>
        <v>342.40000000000032</v>
      </c>
      <c r="BE42" s="13">
        <f>BD42*VLOOKUP('Données projet'!$B$11,Paramètres!$A$1:$I$89,3,0)*VLOOKUP('Données projet'!$B$11,Paramètres!$A$1:$I$89,5,0)</f>
        <v>309.80352000000028</v>
      </c>
      <c r="BF42" s="13">
        <f t="shared" si="37"/>
        <v>73.227795813703821</v>
      </c>
      <c r="BG42" s="20">
        <f t="shared" si="7"/>
        <v>667.11287504220138</v>
      </c>
      <c r="BH42" s="59">
        <f t="shared" si="8"/>
        <v>960.44620837553475</v>
      </c>
      <c r="BI42" s="59">
        <f ca="1">AVERAGE(OFFSET($BH$3,0,0,'Données projet'!$E$11+1,1))-AVERAGE(OFFSET($H$3,0,0,'Données projet'!$E$11+1,1))</f>
        <v>436.23918637269577</v>
      </c>
      <c r="BJ42" s="59">
        <f t="shared" si="38"/>
        <v>611.43967996341894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12.552758956232939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12.552758956232939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</v>
      </c>
      <c r="BY42" s="12">
        <f>IF('Données projet'!$A$114&gt;35,BY41+BX42-CG41,IF(A42&lt;'Données projet'!$A$114,$BV$205^A42,IF(A42='Données projet'!$A$114,'Données projet'!$B$114,BY41+BX42-CG41)))</f>
        <v>214</v>
      </c>
      <c r="BZ42" s="13">
        <f>BY42*VLOOKUP('Données projet'!$B$12,Paramètres!$A$1:$I$89,3,0)*VLOOKUP('Données projet'!$B$12,Paramètres!$A$1:$I$89,5,0)</f>
        <v>180.27360000000002</v>
      </c>
      <c r="CA42" s="13">
        <f t="shared" si="39"/>
        <v>45.383051743938047</v>
      </c>
      <c r="CB42" s="20">
        <f t="shared" si="10"/>
        <v>393.01866845402543</v>
      </c>
      <c r="CC42" s="59">
        <f t="shared" si="11"/>
        <v>686.35200178735874</v>
      </c>
      <c r="CD42" s="59">
        <f ca="1">AVERAGE(OFFSET($CC$3,0,0,'Données projet'!$E$12+1,1))-AVERAGE(OFFSET($H$3,0,0,'Données projet'!$E$12+1,1))</f>
        <v>507.79096804746297</v>
      </c>
      <c r="CE42" s="59">
        <f t="shared" si="40"/>
        <v>312.67921212138998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318.97291652986593</v>
      </c>
      <c r="T43" s="59">
        <f t="shared" si="34"/>
        <v>338.19413170988122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333.80000000000007</v>
      </c>
      <c r="AG43" s="12">
        <f>VLOOKUP(A43,'Données projet'!$A$61:$I$81,9,0)</f>
        <v>14.850000000000009</v>
      </c>
      <c r="AH43" s="12">
        <f t="array" ref="AH43">INDEX(AG:AG,MIN(IF(ISNUMBER(AG43:AG239),ROW(AG43:AG239),"")))</f>
        <v>14.850000000000009</v>
      </c>
      <c r="AI43" s="13">
        <f>IF('Données projet'!$A$62&gt;35,AI42+AH43-AQ42,IF(A43&lt;'Données projet'!$A$62,$AF$205^A43,IF(A43='Données projet'!$A$62,'Données projet'!$B$62,AI42+AH43-AQ42)))</f>
        <v>333.80000000000018</v>
      </c>
      <c r="AJ43" s="13">
        <f>AI43*VLOOKUP('Données projet'!$B$10,Paramètres!$A$1:$I$89,3,0)*VLOOKUP('Données projet'!$B$10,Paramètres!$A$1:$I$89,5,0)</f>
        <v>199.61240000000012</v>
      </c>
      <c r="AK43" s="13">
        <f t="shared" si="35"/>
        <v>49.658975362033459</v>
      </c>
      <c r="AL43" s="20">
        <f t="shared" si="4"/>
        <v>434.14764542220854</v>
      </c>
      <c r="AM43" s="59">
        <f t="shared" si="5"/>
        <v>727.48097875554186</v>
      </c>
      <c r="AN43" s="59">
        <f ca="1">AVERAGE(OFFSET($AM$3,0,0,'Données projet'!$E$10+1,1))-AVERAGE(OFFSET($H$3,0,0,'Données projet'!$E$10+1,1))</f>
        <v>318.97291652986593</v>
      </c>
      <c r="AO43" s="59">
        <f t="shared" si="36"/>
        <v>338.19413170988122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34.1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24.083315649413258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1.2612801432374063</v>
      </c>
      <c r="AX43" s="21">
        <f t="shared" si="6"/>
        <v>25.344595792650665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350</v>
      </c>
      <c r="BB43" s="12">
        <f>VLOOKUP(A43,'Données projet'!$A$87:$I$107,9,0)</f>
        <v>7.6</v>
      </c>
      <c r="BC43" s="12">
        <f t="array" ref="BC43">INDEX(BB:BB,MIN(IF(ISNUMBER(BB43:BB239),ROW(BB43:BB239),"")))</f>
        <v>7.6</v>
      </c>
      <c r="BD43" s="12">
        <f>IF('Données projet'!$A$88&gt;35,BD42+BC43-BL42,IF(A43&lt;'Données projet'!$A$88,$BA$205^A43,IF(A43='Données projet'!$A$88,'Données projet'!$B$88,BD42+BC43-BL42)))</f>
        <v>350.00000000000034</v>
      </c>
      <c r="BE43" s="13">
        <f>BD43*VLOOKUP('Données projet'!$B$11,Paramètres!$A$1:$I$89,3,0)*VLOOKUP('Données projet'!$B$11,Paramètres!$A$1:$I$89,5,0)</f>
        <v>316.68000000000029</v>
      </c>
      <c r="BF43" s="13">
        <f t="shared" si="37"/>
        <v>74.662144360177834</v>
      </c>
      <c r="BG43" s="20">
        <f t="shared" si="7"/>
        <v>681.58756809397687</v>
      </c>
      <c r="BH43" s="59">
        <f t="shared" si="8"/>
        <v>974.92090142731013</v>
      </c>
      <c r="BI43" s="59">
        <f ca="1">AVERAGE(OFFSET($BH$3,0,0,'Données projet'!$E$11+1,1))-AVERAGE(OFFSET($H$3,0,0,'Données projet'!$E$11+1,1))</f>
        <v>436.23918637269577</v>
      </c>
      <c r="BJ43" s="59">
        <f t="shared" si="38"/>
        <v>611.43967996341894</v>
      </c>
      <c r="BK43" s="15">
        <f>IF(ISNA(VLOOKUP(A43,'Données projet'!$A$87:$I$107,3,0)),0,VLOOKUP(A43,'Données projet'!$A$87:$I$107,3,0))</f>
        <v>8</v>
      </c>
      <c r="BL43" s="15">
        <f>IF(ISNA(VLOOKUP(A43,'Données projet'!$A$87:$I$107,4,0)),0,VLOOKUP(A43,'Données projet'!$A$87:$I$107,4,0))</f>
        <v>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12.306607009528165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12.306607009528165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225</v>
      </c>
      <c r="BW43" s="12">
        <f>VLOOKUP(A43,'Données projet'!$A$113:$I$133,9,0)</f>
        <v>11</v>
      </c>
      <c r="BX43" s="12">
        <f t="array" ref="BX43">INDEX(BW:BW,MIN(IF(ISNUMBER(BW43:BW239),ROW(BW43:BW239),"")))</f>
        <v>11</v>
      </c>
      <c r="BY43" s="12">
        <f>IF('Données projet'!$A$114&gt;35,BY42+BX43-CG42,IF(A43&lt;'Données projet'!$A$114,$BV$205^A43,IF(A43='Données projet'!$A$114,'Données projet'!$B$114,BY42+BX43-CG42)))</f>
        <v>225</v>
      </c>
      <c r="BZ43" s="13">
        <f>BY43*VLOOKUP('Données projet'!$B$12,Paramètres!$A$1:$I$89,3,0)*VLOOKUP('Données projet'!$B$12,Paramètres!$A$1:$I$89,5,0)</f>
        <v>189.54000000000002</v>
      </c>
      <c r="CA43" s="13">
        <f t="shared" si="39"/>
        <v>47.438239039488813</v>
      </c>
      <c r="CB43" s="20">
        <f t="shared" si="10"/>
        <v>412.73709966044299</v>
      </c>
      <c r="CC43" s="59">
        <f t="shared" si="11"/>
        <v>706.07043299377631</v>
      </c>
      <c r="CD43" s="59">
        <f ca="1">AVERAGE(OFFSET($CC$3,0,0,'Données projet'!$E$12+1,1))-AVERAGE(OFFSET($H$3,0,0,'Données projet'!$E$12+1,1))</f>
        <v>507.79096804746297</v>
      </c>
      <c r="CE43" s="59">
        <f t="shared" si="40"/>
        <v>312.67921212138998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318.97291652986593</v>
      </c>
      <c r="T44" s="59">
        <f t="shared" si="34"/>
        <v>338.19413170988122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11.049999999999992</v>
      </c>
      <c r="AI44" s="13">
        <f>IF('Données projet'!$A$62&gt;35,AI43+AH44-AQ43,IF(A44&lt;'Données projet'!$A$62,$AF$205^A44,IF(A44='Données projet'!$A$62,'Données projet'!$B$62,AI43+AH44-AQ43)))</f>
        <v>310.75000000000017</v>
      </c>
      <c r="AJ44" s="13">
        <f>AI44*VLOOKUP('Données projet'!$B$10,Paramètres!$A$1:$I$89,3,0)*VLOOKUP('Données projet'!$B$10,Paramètres!$A$1:$I$89,5,0)</f>
        <v>185.8285000000001</v>
      </c>
      <c r="AK44" s="13">
        <f t="shared" si="35"/>
        <v>46.616505227631968</v>
      </c>
      <c r="AL44" s="20">
        <f t="shared" si="4"/>
        <v>404.84171743812584</v>
      </c>
      <c r="AM44" s="59">
        <f t="shared" si="5"/>
        <v>698.17505077145915</v>
      </c>
      <c r="AN44" s="59">
        <f ca="1">AVERAGE(OFFSET($AM$3,0,0,'Données projet'!$E$10+1,1))-AVERAGE(OFFSET($H$3,0,0,'Données projet'!$E$10+1,1))</f>
        <v>318.97291652986593</v>
      </c>
      <c r="AO44" s="59">
        <f t="shared" si="36"/>
        <v>338.19413170988122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23.611056518900355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0.89185974225911002</v>
      </c>
      <c r="AX44" s="21">
        <f t="shared" si="6"/>
        <v>24.502916261159466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7.4</v>
      </c>
      <c r="BD44" s="12">
        <f>IF('Données projet'!$A$88&gt;35,BD43+BC44-BL43,IF(A44&lt;'Données projet'!$A$88,$BA$205^A44,IF(A44='Données projet'!$A$88,'Données projet'!$B$88,BD43+BC44-BL43)))</f>
        <v>348.40000000000032</v>
      </c>
      <c r="BE44" s="13">
        <f>BD44*VLOOKUP('Données projet'!$B$11,Paramètres!$A$1:$I$89,3,0)*VLOOKUP('Données projet'!$B$11,Paramètres!$A$1:$I$89,5,0)</f>
        <v>315.2323200000003</v>
      </c>
      <c r="BF44" s="13">
        <f t="shared" si="37"/>
        <v>74.360480118488482</v>
      </c>
      <c r="BG44" s="20">
        <f t="shared" si="7"/>
        <v>678.54079353970121</v>
      </c>
      <c r="BH44" s="59">
        <f t="shared" si="8"/>
        <v>971.87412687303458</v>
      </c>
      <c r="BI44" s="59">
        <f ca="1">AVERAGE(OFFSET($BH$3,0,0,'Données projet'!$E$11+1,1))-AVERAGE(OFFSET($H$3,0,0,'Données projet'!$E$11+1,1))</f>
        <v>436.23918637269577</v>
      </c>
      <c r="BJ44" s="59">
        <f t="shared" si="38"/>
        <v>611.43967996341894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12.065281952360408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12.065281952360408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</v>
      </c>
      <c r="BY44" s="12">
        <f>IF('Données projet'!$A$114&gt;35,BY43+BX44-CG43,IF(A44&lt;'Données projet'!$A$114,$BV$205^A44,IF(A44='Données projet'!$A$114,'Données projet'!$B$114,BY43+BX44-CG43)))</f>
        <v>180.2</v>
      </c>
      <c r="BZ44" s="13">
        <f>BY44*VLOOKUP('Données projet'!$B$12,Paramètres!$A$1:$I$89,3,0)*VLOOKUP('Données projet'!$B$12,Paramètres!$A$1:$I$89,5,0)</f>
        <v>151.80048000000002</v>
      </c>
      <c r="CA44" s="13">
        <f t="shared" si="39"/>
        <v>38.987466592941892</v>
      </c>
      <c r="CB44" s="20">
        <f t="shared" si="10"/>
        <v>332.28900698270718</v>
      </c>
      <c r="CC44" s="59">
        <f t="shared" si="11"/>
        <v>625.62234031604044</v>
      </c>
      <c r="CD44" s="59">
        <f ca="1">AVERAGE(OFFSET($CC$3,0,0,'Données projet'!$E$12+1,1))-AVERAGE(OFFSET($H$3,0,0,'Données projet'!$E$12+1,1))</f>
        <v>507.79096804746297</v>
      </c>
      <c r="CE44" s="59">
        <f t="shared" si="40"/>
        <v>312.67921212138998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318.97291652986593</v>
      </c>
      <c r="T45" s="59">
        <f t="shared" si="34"/>
        <v>338.19413170988122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11.049999999999992</v>
      </c>
      <c r="AI45" s="13">
        <f>IF('Données projet'!$A$62&gt;35,AI44+AH45-AQ44,IF(A45&lt;'Données projet'!$A$62,$AF$205^A45,IF(A45='Données projet'!$A$62,'Données projet'!$B$62,AI44+AH45-AQ44)))</f>
        <v>321.80000000000018</v>
      </c>
      <c r="AJ45" s="13">
        <f>AI45*VLOOKUP('Données projet'!$B$10,Paramètres!$A$1:$I$89,3,0)*VLOOKUP('Données projet'!$B$10,Paramètres!$A$1:$I$89,5,0)</f>
        <v>192.43640000000011</v>
      </c>
      <c r="AK45" s="13">
        <f t="shared" si="35"/>
        <v>48.07820620284339</v>
      </c>
      <c r="AL45" s="20">
        <f t="shared" si="4"/>
        <v>418.89627246995241</v>
      </c>
      <c r="AM45" s="59">
        <f t="shared" si="5"/>
        <v>712.22960580328572</v>
      </c>
      <c r="AN45" s="59">
        <f ca="1">AVERAGE(OFFSET($AM$3,0,0,'Données projet'!$E$10+1,1))-AVERAGE(OFFSET($H$3,0,0,'Données projet'!$E$10+1,1))</f>
        <v>318.97291652986593</v>
      </c>
      <c r="AO45" s="59">
        <f t="shared" si="36"/>
        <v>338.19413170988122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23.148058101887184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0.63064007161870328</v>
      </c>
      <c r="AX45" s="21">
        <f t="shared" si="6"/>
        <v>23.778698173505887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7.4</v>
      </c>
      <c r="BD45" s="12">
        <f>IF('Données projet'!$A$88&gt;35,BD44+BC45-BL44,IF(A45&lt;'Données projet'!$A$88,$BA$205^A45,IF(A45='Données projet'!$A$88,'Données projet'!$B$88,BD44+BC45-BL44)))</f>
        <v>355.8000000000003</v>
      </c>
      <c r="BE45" s="13">
        <f>BD45*VLOOKUP('Données projet'!$B$11,Paramètres!$A$1:$I$89,3,0)*VLOOKUP('Données projet'!$B$11,Paramètres!$A$1:$I$89,5,0)</f>
        <v>321.92784000000023</v>
      </c>
      <c r="BF45" s="13">
        <f t="shared" si="37"/>
        <v>75.754337936715828</v>
      </c>
      <c r="BG45" s="20">
        <f t="shared" si="7"/>
        <v>692.6297932397805</v>
      </c>
      <c r="BH45" s="59">
        <f t="shared" si="8"/>
        <v>985.96312657311387</v>
      </c>
      <c r="BI45" s="59">
        <f ca="1">AVERAGE(OFFSET($BH$3,0,0,'Données projet'!$E$11+1,1))-AVERAGE(OFFSET($H$3,0,0,'Données projet'!$E$11+1,1))</f>
        <v>436.23918637269577</v>
      </c>
      <c r="BJ45" s="59">
        <f t="shared" si="38"/>
        <v>611.43967996341894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11.828689132369961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11.828689132369961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</v>
      </c>
      <c r="BY45" s="12">
        <f>IF('Données projet'!$A$114&gt;35,BY44+BX45-CG44,IF(A45&lt;'Données projet'!$A$114,$BV$205^A45,IF(A45='Données projet'!$A$114,'Données projet'!$B$114,BY44+BX45-CG44)))</f>
        <v>191.39999999999998</v>
      </c>
      <c r="BZ45" s="13">
        <f>BY45*VLOOKUP('Données projet'!$B$12,Paramètres!$A$1:$I$89,3,0)*VLOOKUP('Données projet'!$B$12,Paramètres!$A$1:$I$89,5,0)</f>
        <v>161.23535999999999</v>
      </c>
      <c r="CA45" s="13">
        <f t="shared" si="39"/>
        <v>41.121029451505414</v>
      </c>
      <c r="CB45" s="20">
        <f t="shared" si="10"/>
        <v>352.43737829470524</v>
      </c>
      <c r="CC45" s="59">
        <f t="shared" si="11"/>
        <v>645.7707116280385</v>
      </c>
      <c r="CD45" s="59">
        <f ca="1">AVERAGE(OFFSET($CC$3,0,0,'Données projet'!$E$12+1,1))-AVERAGE(OFFSET($H$3,0,0,'Données projet'!$E$12+1,1))</f>
        <v>507.79096804746297</v>
      </c>
      <c r="CE45" s="59">
        <f t="shared" si="40"/>
        <v>312.67921212138998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318.97291652986593</v>
      </c>
      <c r="T46" s="59">
        <f t="shared" si="34"/>
        <v>338.19413170988122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11.049999999999992</v>
      </c>
      <c r="AI46" s="13">
        <f>IF('Données projet'!$A$62&gt;35,AI45+AH46-AQ45,IF(A46&lt;'Données projet'!$A$62,$AF$205^A46,IF(A46='Données projet'!$A$62,'Données projet'!$B$62,AI45+AH46-AQ45)))</f>
        <v>332.85000000000019</v>
      </c>
      <c r="AJ46" s="13">
        <f>AI46*VLOOKUP('Données projet'!$B$10,Paramètres!$A$1:$I$89,3,0)*VLOOKUP('Données projet'!$B$10,Paramètres!$A$1:$I$89,5,0)</f>
        <v>199.04430000000013</v>
      </c>
      <c r="AK46" s="13">
        <f t="shared" si="35"/>
        <v>49.534075275146158</v>
      </c>
      <c r="AL46" s="20">
        <f t="shared" si="4"/>
        <v>432.94067027087976</v>
      </c>
      <c r="AM46" s="59">
        <f t="shared" si="5"/>
        <v>726.27400360421302</v>
      </c>
      <c r="AN46" s="59">
        <f ca="1">AVERAGE(OFFSET($AM$3,0,0,'Données projet'!$E$10+1,1))-AVERAGE(OFFSET($H$3,0,0,'Données projet'!$E$10+1,1))</f>
        <v>318.97291652986593</v>
      </c>
      <c r="AO46" s="59">
        <f t="shared" si="36"/>
        <v>338.19413170988122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22.694138801430491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0.44592987112955512</v>
      </c>
      <c r="AX46" s="21">
        <f t="shared" si="6"/>
        <v>23.140068672560044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7.4</v>
      </c>
      <c r="BD46" s="12">
        <f>IF('Données projet'!$A$88&gt;35,BD45+BC46-BL45,IF(A46&lt;'Données projet'!$A$88,$BA$205^A46,IF(A46='Données projet'!$A$88,'Données projet'!$B$88,BD45+BC46-BL45)))</f>
        <v>363.20000000000027</v>
      </c>
      <c r="BE46" s="13">
        <f>BD46*VLOOKUP('Données projet'!$B$11,Paramètres!$A$1:$I$89,3,0)*VLOOKUP('Données projet'!$B$11,Paramètres!$A$1:$I$89,5,0)</f>
        <v>328.62336000000022</v>
      </c>
      <c r="BF46" s="13">
        <f t="shared" si="37"/>
        <v>77.144825174157688</v>
      </c>
      <c r="BG46" s="20">
        <f t="shared" si="7"/>
        <v>706.71292251165823</v>
      </c>
      <c r="BH46" s="59">
        <f t="shared" si="8"/>
        <v>1000.0462558449915</v>
      </c>
      <c r="BI46" s="59">
        <f ca="1">AVERAGE(OFFSET($BH$3,0,0,'Données projet'!$E$11+1,1))-AVERAGE(OFFSET($H$3,0,0,'Données projet'!$E$11+1,1))</f>
        <v>436.23918637269577</v>
      </c>
      <c r="BJ46" s="59">
        <f t="shared" si="38"/>
        <v>611.43967996341894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11.596735753272156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11.596735753272156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</v>
      </c>
      <c r="BY46" s="12">
        <f>IF('Données projet'!$A$114&gt;35,BY45+BX46-CG45,IF(A46&lt;'Données projet'!$A$114,$BV$205^A46,IF(A46='Données projet'!$A$114,'Données projet'!$B$114,BY45+BX46-CG45)))</f>
        <v>202.59999999999997</v>
      </c>
      <c r="BZ46" s="13">
        <f>BY46*VLOOKUP('Données projet'!$B$12,Paramètres!$A$1:$I$89,3,0)*VLOOKUP('Données projet'!$B$12,Paramètres!$A$1:$I$89,5,0)</f>
        <v>170.67023999999998</v>
      </c>
      <c r="CA46" s="13">
        <f t="shared" si="39"/>
        <v>43.240100655403644</v>
      </c>
      <c r="CB46" s="20">
        <f t="shared" si="10"/>
        <v>372.56050997482794</v>
      </c>
      <c r="CC46" s="59">
        <f t="shared" si="11"/>
        <v>665.89384330816119</v>
      </c>
      <c r="CD46" s="59">
        <f ca="1">AVERAGE(OFFSET($CC$3,0,0,'Données projet'!$E$12+1,1))-AVERAGE(OFFSET($H$3,0,0,'Données projet'!$E$12+1,1))</f>
        <v>507.79096804746297</v>
      </c>
      <c r="CE46" s="59">
        <f t="shared" si="40"/>
        <v>312.67921212138998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318.97291652986593</v>
      </c>
      <c r="T47" s="59">
        <f t="shared" si="34"/>
        <v>338.19413170988122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11.049999999999992</v>
      </c>
      <c r="AI47" s="13">
        <f>IF('Données projet'!$A$62&gt;35,AI46+AH47-AQ46,IF(A47&lt;'Données projet'!$A$62,$AF$205^A47,IF(A47='Données projet'!$A$62,'Données projet'!$B$62,AI46+AH47-AQ46)))</f>
        <v>343.9000000000002</v>
      </c>
      <c r="AJ47" s="13">
        <f>AI47*VLOOKUP('Données projet'!$B$10,Paramètres!$A$1:$I$89,3,0)*VLOOKUP('Données projet'!$B$10,Paramètres!$A$1:$I$89,5,0)</f>
        <v>205.65220000000014</v>
      </c>
      <c r="AK47" s="13">
        <f t="shared" si="35"/>
        <v>50.984328252291228</v>
      </c>
      <c r="AL47" s="20">
        <f t="shared" si="4"/>
        <v>446.97528670607409</v>
      </c>
      <c r="AM47" s="59">
        <f t="shared" si="5"/>
        <v>740.3086200394074</v>
      </c>
      <c r="AN47" s="59">
        <f ca="1">AVERAGE(OFFSET($AM$3,0,0,'Données projet'!$E$10+1,1))-AVERAGE(OFFSET($H$3,0,0,'Données projet'!$E$10+1,1))</f>
        <v>318.97291652986593</v>
      </c>
      <c r="AO47" s="59">
        <f t="shared" si="36"/>
        <v>338.19413170988122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22.249120581592319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0.3153200358093517</v>
      </c>
      <c r="AX47" s="21">
        <f t="shared" si="6"/>
        <v>22.564440617401669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7.4</v>
      </c>
      <c r="BD47" s="12">
        <f>IF('Données projet'!$A$88&gt;35,BD46+BC47-BL46,IF(A47&lt;'Données projet'!$A$88,$BA$205^A47,IF(A47='Données projet'!$A$88,'Données projet'!$B$88,BD46+BC47-BL46)))</f>
        <v>370.60000000000025</v>
      </c>
      <c r="BE47" s="13">
        <f>BD47*VLOOKUP('Données projet'!$B$11,Paramètres!$A$1:$I$89,3,0)*VLOOKUP('Données projet'!$B$11,Paramètres!$A$1:$I$89,5,0)</f>
        <v>335.31888000000021</v>
      </c>
      <c r="BF47" s="13">
        <f t="shared" si="37"/>
        <v>78.532018418019703</v>
      </c>
      <c r="BG47" s="20">
        <f t="shared" si="7"/>
        <v>720.7903147447181</v>
      </c>
      <c r="BH47" s="59">
        <f t="shared" si="8"/>
        <v>1014.1236480780515</v>
      </c>
      <c r="BI47" s="59">
        <f ca="1">AVERAGE(OFFSET($BH$3,0,0,'Données projet'!$E$11+1,1))-AVERAGE(OFFSET($H$3,0,0,'Données projet'!$E$11+1,1))</f>
        <v>436.23918637269577</v>
      </c>
      <c r="BJ47" s="59">
        <f t="shared" si="38"/>
        <v>611.43967996341894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11.369330838460868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11.369330838460868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</v>
      </c>
      <c r="BY47" s="12">
        <f>IF('Données projet'!$A$114&gt;35,BY46+BX47-CG46,IF(A47&lt;'Données projet'!$A$114,$BV$205^A47,IF(A47='Données projet'!$A$114,'Données projet'!$B$114,BY46+BX47-CG46)))</f>
        <v>213.79999999999995</v>
      </c>
      <c r="BZ47" s="13">
        <f>BY47*VLOOKUP('Données projet'!$B$12,Paramètres!$A$1:$I$89,3,0)*VLOOKUP('Données projet'!$B$12,Paramètres!$A$1:$I$89,5,0)</f>
        <v>180.10511999999997</v>
      </c>
      <c r="CA47" s="13">
        <f t="shared" si="39"/>
        <v>45.345572635110635</v>
      </c>
      <c r="CB47" s="20">
        <f t="shared" si="10"/>
        <v>392.65995633948432</v>
      </c>
      <c r="CC47" s="59">
        <f t="shared" si="11"/>
        <v>685.99328967281758</v>
      </c>
      <c r="CD47" s="59">
        <f ca="1">AVERAGE(OFFSET($CC$3,0,0,'Données projet'!$E$12+1,1))-AVERAGE(OFFSET($H$3,0,0,'Données projet'!$E$12+1,1))</f>
        <v>507.79096804746297</v>
      </c>
      <c r="CE47" s="59">
        <f t="shared" si="40"/>
        <v>312.67921212138998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318.97291652986593</v>
      </c>
      <c r="T48" s="59">
        <f t="shared" si="34"/>
        <v>338.19413170988122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11.049999999999992</v>
      </c>
      <c r="AI48" s="13">
        <f>IF('Données projet'!$A$62&gt;35,AI47+AH48-AQ47,IF(A48&lt;'Données projet'!$A$62,$AF$205^A48,IF(A48='Données projet'!$A$62,'Données projet'!$B$62,AI47+AH48-AQ47)))</f>
        <v>354.95000000000022</v>
      </c>
      <c r="AJ48" s="13">
        <f>AI48*VLOOKUP('Données projet'!$B$10,Paramètres!$A$1:$I$89,3,0)*VLOOKUP('Données projet'!$B$10,Paramètres!$A$1:$I$89,5,0)</f>
        <v>212.26010000000014</v>
      </c>
      <c r="AK48" s="13">
        <f t="shared" si="35"/>
        <v>52.429166286213409</v>
      </c>
      <c r="AL48" s="20">
        <f t="shared" si="4"/>
        <v>461.00047211515522</v>
      </c>
      <c r="AM48" s="59">
        <f t="shared" si="5"/>
        <v>754.33380544848853</v>
      </c>
      <c r="AN48" s="59">
        <f ca="1">AVERAGE(OFFSET($AM$3,0,0,'Données projet'!$E$10+1,1))-AVERAGE(OFFSET($H$3,0,0,'Données projet'!$E$10+1,1))</f>
        <v>318.97291652986593</v>
      </c>
      <c r="AO48" s="59">
        <f t="shared" si="36"/>
        <v>338.19413170988122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21.81282889761086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0.22296493556477759</v>
      </c>
      <c r="AX48" s="21">
        <f t="shared" si="6"/>
        <v>22.035793833175639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378</v>
      </c>
      <c r="BB48" s="12">
        <f>VLOOKUP(A48,'Données projet'!$A$87:$I$107,9,0)</f>
        <v>7.4</v>
      </c>
      <c r="BC48" s="12">
        <f t="array" ref="BC48">INDEX(BB:BB,MIN(IF(ISNUMBER(BB48:BB244),ROW(BB48:BB244),"")))</f>
        <v>7.4</v>
      </c>
      <c r="BD48" s="12">
        <f>IF('Données projet'!$A$88&gt;35,BD47+BC48-BL47,IF(A48&lt;'Données projet'!$A$88,$BA$205^A48,IF(A48='Données projet'!$A$88,'Données projet'!$B$88,BD47+BC48-BL47)))</f>
        <v>378.00000000000023</v>
      </c>
      <c r="BE48" s="13">
        <f>BD48*VLOOKUP('Données projet'!$B$11,Paramètres!$A$1:$I$89,3,0)*VLOOKUP('Données projet'!$B$11,Paramètres!$A$1:$I$89,5,0)</f>
        <v>342.01440000000019</v>
      </c>
      <c r="BF48" s="13">
        <f t="shared" si="37"/>
        <v>79.9159910220867</v>
      </c>
      <c r="BG48" s="20">
        <f t="shared" si="7"/>
        <v>734.86209769680136</v>
      </c>
      <c r="BH48" s="59">
        <f t="shared" si="8"/>
        <v>1028.1954310301346</v>
      </c>
      <c r="BI48" s="59">
        <f ca="1">AVERAGE(OFFSET($BH$3,0,0,'Données projet'!$E$11+1,1))-AVERAGE(OFFSET($H$3,0,0,'Données projet'!$E$11+1,1))</f>
        <v>436.23918637269577</v>
      </c>
      <c r="BJ48" s="59">
        <f t="shared" si="38"/>
        <v>611.43967996341894</v>
      </c>
      <c r="BK48" s="15">
        <f>IF(ISNA(VLOOKUP(A48,'Données projet'!$A$87:$I$107,3,0)),0,VLOOKUP(A48,'Données projet'!$A$87:$I$107,3,0))</f>
        <v>9</v>
      </c>
      <c r="BL48" s="15">
        <f>IF(ISNA(VLOOKUP(A48,'Données projet'!$A$87:$I$107,4,0)),0,VLOOKUP(A48,'Données projet'!$A$87:$I$107,4,0))</f>
        <v>378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11.146385195325728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11.146385195325728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11.2</v>
      </c>
      <c r="BY48" s="12">
        <f>IF('Données projet'!$A$114&gt;35,BY47+BX48-CG47,IF(A48&lt;'Données projet'!$A$114,$BV$205^A48,IF(A48='Données projet'!$A$114,'Données projet'!$B$114,BY47+BX48-CG47)))</f>
        <v>224.99999999999994</v>
      </c>
      <c r="BZ48" s="13">
        <f>BY48*VLOOKUP('Données projet'!$B$12,Paramètres!$A$1:$I$89,3,0)*VLOOKUP('Données projet'!$B$12,Paramètres!$A$1:$I$89,5,0)</f>
        <v>189.53999999999996</v>
      </c>
      <c r="CA48" s="13">
        <f t="shared" si="39"/>
        <v>47.438239039488813</v>
      </c>
      <c r="CB48" s="20">
        <f t="shared" si="10"/>
        <v>412.73709966044294</v>
      </c>
      <c r="CC48" s="59">
        <f t="shared" si="11"/>
        <v>706.07043299377619</v>
      </c>
      <c r="CD48" s="59">
        <f ca="1">AVERAGE(OFFSET($CC$3,0,0,'Données projet'!$E$12+1,1))-AVERAGE(OFFSET($H$3,0,0,'Données projet'!$E$12+1,1))</f>
        <v>507.79096804746297</v>
      </c>
      <c r="CE48" s="59">
        <f t="shared" si="40"/>
        <v>312.67921212138998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318.97291652986593</v>
      </c>
      <c r="T49" s="59">
        <f t="shared" si="34"/>
        <v>338.19413170988122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366</v>
      </c>
      <c r="AG49" s="12">
        <f>VLOOKUP(A49,'Données projet'!$A$61:$I$81,9,0)</f>
        <v>11.049999999999992</v>
      </c>
      <c r="AH49" s="12">
        <f t="array" ref="AH49">INDEX(AG:AG,MIN(IF(ISNUMBER(AG49:AG245),ROW(AG49:AG245),"")))</f>
        <v>11.049999999999992</v>
      </c>
      <c r="AI49" s="13">
        <f>IF('Données projet'!$A$62&gt;35,AI48+AH49-AQ48,IF(A49&lt;'Données projet'!$A$62,$AF$205^A49,IF(A49='Données projet'!$A$62,'Données projet'!$B$62,AI48+AH49-AQ48)))</f>
        <v>366.00000000000023</v>
      </c>
      <c r="AJ49" s="13">
        <f>AI49*VLOOKUP('Données projet'!$B$10,Paramètres!$A$1:$I$89,3,0)*VLOOKUP('Données projet'!$B$10,Paramètres!$A$1:$I$89,5,0)</f>
        <v>218.86800000000014</v>
      </c>
      <c r="AK49" s="13">
        <f t="shared" si="35"/>
        <v>53.868777293257544</v>
      </c>
      <c r="AL49" s="20">
        <f t="shared" si="4"/>
        <v>475.01655378575714</v>
      </c>
      <c r="AM49" s="59">
        <f t="shared" si="5"/>
        <v>768.34988711909045</v>
      </c>
      <c r="AN49" s="59">
        <f ca="1">AVERAGE(OFFSET($AM$3,0,0,'Données projet'!$E$10+1,1))-AVERAGE(OFFSET($H$3,0,0,'Données projet'!$E$10+1,1))</f>
        <v>318.97291652986593</v>
      </c>
      <c r="AO49" s="59">
        <f t="shared" si="36"/>
        <v>338.19413170988122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21.3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21.385092627440628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0.15766001790467588</v>
      </c>
      <c r="AX49" s="21">
        <f t="shared" si="6"/>
        <v>21.542752645345303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2.2737367544323206E-13</v>
      </c>
      <c r="BE49" s="13">
        <f>BD49*VLOOKUP('Données projet'!$B$11,Paramètres!$A$1:$I$89,3,0)*VLOOKUP('Données projet'!$B$11,Paramètres!$A$1:$I$89,5,0)</f>
        <v>2.0572770154103635E-13</v>
      </c>
      <c r="BF49" s="13">
        <f t="shared" si="37"/>
        <v>2.8416956338469711E-12</v>
      </c>
      <c r="BG49" s="20">
        <f t="shared" si="7"/>
        <v>5.3075956424674458E-12</v>
      </c>
      <c r="BH49" s="59">
        <f t="shared" si="8"/>
        <v>293.3333333333386</v>
      </c>
      <c r="BI49" s="59">
        <f ca="1">AVERAGE(OFFSET($BH$3,0,0,'Données projet'!$E$11+1,1))-AVERAGE(OFFSET($H$3,0,0,'Données projet'!$E$11+1,1))</f>
        <v>436.23918637269577</v>
      </c>
      <c r="BJ49" s="59">
        <f t="shared" si="38"/>
        <v>611.43967996341894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10.92781138026905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10.92781138026905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</v>
      </c>
      <c r="BY49" s="12">
        <f>IF('Données projet'!$A$114&gt;35,BY48+BX49-CG48,IF(A49&lt;'Données projet'!$A$114,$BV$205^A49,IF(A49='Données projet'!$A$114,'Données projet'!$B$114,BY48+BX49-CG48)))</f>
        <v>236.19999999999993</v>
      </c>
      <c r="BZ49" s="13">
        <f>BY49*VLOOKUP('Données projet'!$B$12,Paramètres!$A$1:$I$89,3,0)*VLOOKUP('Données projet'!$B$12,Paramètres!$A$1:$I$89,5,0)</f>
        <v>198.97487999999996</v>
      </c>
      <c r="CA49" s="13">
        <f t="shared" si="39"/>
        <v>49.518810041794701</v>
      </c>
      <c r="CB49" s="20">
        <f t="shared" si="10"/>
        <v>432.7931768227923</v>
      </c>
      <c r="CC49" s="59">
        <f t="shared" si="11"/>
        <v>726.12651015612562</v>
      </c>
      <c r="CD49" s="59">
        <f ca="1">AVERAGE(OFFSET($CC$3,0,0,'Données projet'!$E$12+1,1))-AVERAGE(OFFSET($H$3,0,0,'Données projet'!$E$12+1,1))</f>
        <v>507.79096804746297</v>
      </c>
      <c r="CE49" s="59">
        <f t="shared" si="40"/>
        <v>312.67921212138998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318.97291652986593</v>
      </c>
      <c r="T50" s="59">
        <f t="shared" si="34"/>
        <v>338.19413170988122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7.2999999999999972</v>
      </c>
      <c r="AI50" s="13">
        <f>IF('Données projet'!$A$62&gt;35,AI49+AH50-AQ49,IF(A50&lt;'Données projet'!$A$62,$AF$205^A50,IF(A50='Données projet'!$A$62,'Données projet'!$B$62,AI49+AH50-AQ49)))</f>
        <v>352.00000000000023</v>
      </c>
      <c r="AJ50" s="13">
        <f>AI50*VLOOKUP('Données projet'!$B$10,Paramètres!$A$1:$I$89,3,0)*VLOOKUP('Données projet'!$B$10,Paramètres!$A$1:$I$89,5,0)</f>
        <v>210.49600000000015</v>
      </c>
      <c r="AK50" s="13">
        <f t="shared" si="35"/>
        <v>52.043959291168512</v>
      </c>
      <c r="AL50" s="20">
        <f t="shared" si="4"/>
        <v>457.25709576545205</v>
      </c>
      <c r="AM50" s="59">
        <f t="shared" si="5"/>
        <v>750.59042909878531</v>
      </c>
      <c r="AN50" s="59">
        <f ca="1">AVERAGE(OFFSET($AM$3,0,0,'Données projet'!$E$10+1,1))-AVERAGE(OFFSET($H$3,0,0,'Données projet'!$E$10+1,1))</f>
        <v>318.97291652986593</v>
      </c>
      <c r="AO50" s="59">
        <f t="shared" si="36"/>
        <v>338.19413170988122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20.96574400463507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0.11148246778238882</v>
      </c>
      <c r="AX50" s="21">
        <f t="shared" si="6"/>
        <v>21.077226472417458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2.2737367544323206E-13</v>
      </c>
      <c r="BE50" s="13">
        <f>BD50*VLOOKUP('Données projet'!$B$11,Paramètres!$A$1:$I$89,3,0)*VLOOKUP('Données projet'!$B$11,Paramètres!$A$1:$I$89,5,0)</f>
        <v>2.0572770154103635E-13</v>
      </c>
      <c r="BF50" s="13">
        <f t="shared" si="37"/>
        <v>2.8416956338469711E-12</v>
      </c>
      <c r="BG50" s="20">
        <f t="shared" si="7"/>
        <v>5.3075956424674458E-12</v>
      </c>
      <c r="BH50" s="59">
        <f t="shared" si="8"/>
        <v>293.3333333333386</v>
      </c>
      <c r="BI50" s="59">
        <f ca="1">AVERAGE(OFFSET($BH$3,0,0,'Données projet'!$E$11+1,1))-AVERAGE(OFFSET($H$3,0,0,'Données projet'!$E$11+1,1))</f>
        <v>436.23918637269577</v>
      </c>
      <c r="BJ50" s="59">
        <f t="shared" si="38"/>
        <v>611.43967996341894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10.713523664408772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10.713523664408772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</v>
      </c>
      <c r="BY50" s="12">
        <f>IF('Données projet'!$A$114&gt;35,BY49+BX50-CG49,IF(A50&lt;'Données projet'!$A$114,$BV$205^A50,IF(A50='Données projet'!$A$114,'Données projet'!$B$114,BY49+BX50-CG49)))</f>
        <v>247.39999999999992</v>
      </c>
      <c r="BZ50" s="13">
        <f>BY50*VLOOKUP('Données projet'!$B$12,Paramètres!$A$1:$I$89,3,0)*VLOOKUP('Données projet'!$B$12,Paramètres!$A$1:$I$89,5,0)</f>
        <v>208.40975999999998</v>
      </c>
      <c r="CA50" s="13">
        <f t="shared" si="39"/>
        <v>51.587924660362781</v>
      </c>
      <c r="CB50" s="20">
        <f t="shared" si="10"/>
        <v>452.82930078346516</v>
      </c>
      <c r="CC50" s="59">
        <f t="shared" si="11"/>
        <v>746.16263411679847</v>
      </c>
      <c r="CD50" s="59">
        <f ca="1">AVERAGE(OFFSET($CC$3,0,0,'Données projet'!$E$12+1,1))-AVERAGE(OFFSET($H$3,0,0,'Données projet'!$E$12+1,1))</f>
        <v>507.79096804746297</v>
      </c>
      <c r="CE50" s="59">
        <f t="shared" si="40"/>
        <v>312.67921212138998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318.97291652986593</v>
      </c>
      <c r="T51" s="59">
        <f t="shared" si="34"/>
        <v>338.19413170988122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7.2999999999999972</v>
      </c>
      <c r="AI51" s="13">
        <f>IF('Données projet'!$A$62&gt;35,AI50+AH51-AQ50,IF(A51&lt;'Données projet'!$A$62,$AF$205^A51,IF(A51='Données projet'!$A$62,'Données projet'!$B$62,AI50+AH51-AQ50)))</f>
        <v>359.30000000000024</v>
      </c>
      <c r="AJ51" s="13">
        <f>AI51*VLOOKUP('Données projet'!$B$10,Paramètres!$A$1:$I$89,3,0)*VLOOKUP('Données projet'!$B$10,Paramètres!$A$1:$I$89,5,0)</f>
        <v>214.86140000000015</v>
      </c>
      <c r="AK51" s="13">
        <f t="shared" si="35"/>
        <v>52.996504799916742</v>
      </c>
      <c r="AL51" s="20">
        <f t="shared" si="4"/>
        <v>466.51918419318849</v>
      </c>
      <c r="AM51" s="59">
        <f t="shared" si="5"/>
        <v>759.85251752652175</v>
      </c>
      <c r="AN51" s="59">
        <f ca="1">AVERAGE(OFFSET($AM$3,0,0,'Données projet'!$E$10+1,1))-AVERAGE(OFFSET($H$3,0,0,'Données projet'!$E$10+1,1))</f>
        <v>318.97291652986593</v>
      </c>
      <c r="AO51" s="59">
        <f t="shared" si="36"/>
        <v>338.19413170988122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20.554618552545325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7.8830008952337952E-2</v>
      </c>
      <c r="AX51" s="21">
        <f t="shared" si="6"/>
        <v>20.633448561497662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2.2737367544323206E-13</v>
      </c>
      <c r="BE51" s="13">
        <f>BD51*VLOOKUP('Données projet'!$B$11,Paramètres!$A$1:$I$89,3,0)*VLOOKUP('Données projet'!$B$11,Paramètres!$A$1:$I$89,5,0)</f>
        <v>2.0572770154103635E-13</v>
      </c>
      <c r="BF51" s="13">
        <f t="shared" si="37"/>
        <v>2.8416956338469711E-12</v>
      </c>
      <c r="BG51" s="20">
        <f t="shared" si="7"/>
        <v>5.3075956424674458E-12</v>
      </c>
      <c r="BH51" s="59">
        <f t="shared" si="8"/>
        <v>293.3333333333386</v>
      </c>
      <c r="BI51" s="59">
        <f ca="1">AVERAGE(OFFSET($BH$3,0,0,'Données projet'!$E$11+1,1))-AVERAGE(OFFSET($H$3,0,0,'Données projet'!$E$11+1,1))</f>
        <v>436.23918637269577</v>
      </c>
      <c r="BJ51" s="59">
        <f t="shared" si="38"/>
        <v>611.43967996341894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10.503437999953913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10.503437999953913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</v>
      </c>
      <c r="BY51" s="12">
        <f>IF('Données projet'!$A$114&gt;35,BY50+BX51-CG50,IF(A51&lt;'Données projet'!$A$114,$BV$205^A51,IF(A51='Données projet'!$A$114,'Données projet'!$B$114,BY50+BX51-CG50)))</f>
        <v>258.59999999999991</v>
      </c>
      <c r="BZ51" s="13">
        <f>BY51*VLOOKUP('Données projet'!$B$12,Paramètres!$A$1:$I$89,3,0)*VLOOKUP('Données projet'!$B$12,Paramètres!$A$1:$I$89,5,0)</f>
        <v>217.84463999999994</v>
      </c>
      <c r="CA51" s="13">
        <f t="shared" si="39"/>
        <v>53.64616078516395</v>
      </c>
      <c r="CB51" s="20">
        <f t="shared" si="10"/>
        <v>472.8464780341605</v>
      </c>
      <c r="CC51" s="59">
        <f t="shared" si="11"/>
        <v>766.17981136749381</v>
      </c>
      <c r="CD51" s="59">
        <f ca="1">AVERAGE(OFFSET($CC$3,0,0,'Données projet'!$E$12+1,1))-AVERAGE(OFFSET($H$3,0,0,'Données projet'!$E$12+1,1))</f>
        <v>507.79096804746297</v>
      </c>
      <c r="CE51" s="59">
        <f t="shared" si="40"/>
        <v>312.67921212138998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318.97291652986593</v>
      </c>
      <c r="T52" s="59">
        <f t="shared" si="34"/>
        <v>338.19413170988122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7.2999999999999972</v>
      </c>
      <c r="AI52" s="13">
        <f>IF('Données projet'!$A$62&gt;35,AI51+AH52-AQ51,IF(A52&lt;'Données projet'!$A$62,$AF$205^A52,IF(A52='Données projet'!$A$62,'Données projet'!$B$62,AI51+AH52-AQ51)))</f>
        <v>366.60000000000025</v>
      </c>
      <c r="AJ52" s="13">
        <f>AI52*VLOOKUP('Données projet'!$B$10,Paramètres!$A$1:$I$89,3,0)*VLOOKUP('Données projet'!$B$10,Paramètres!$A$1:$I$89,5,0)</f>
        <v>219.22680000000014</v>
      </c>
      <c r="AK52" s="13">
        <f t="shared" si="35"/>
        <v>53.946800101493466</v>
      </c>
      <c r="AL52" s="20">
        <f t="shared" si="4"/>
        <v>475.77735351010136</v>
      </c>
      <c r="AM52" s="59">
        <f t="shared" si="5"/>
        <v>769.11068684343468</v>
      </c>
      <c r="AN52" s="59">
        <f ca="1">AVERAGE(OFFSET($AM$3,0,0,'Données projet'!$E$10+1,1))-AVERAGE(OFFSET($H$3,0,0,'Données projet'!$E$10+1,1))</f>
        <v>318.97291652986593</v>
      </c>
      <c r="AO52" s="59">
        <f t="shared" si="36"/>
        <v>338.19413170988122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20.151555019809294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5.5741233891194418E-2</v>
      </c>
      <c r="AX52" s="21">
        <f t="shared" si="6"/>
        <v>20.207296253700488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2.2737367544323206E-13</v>
      </c>
      <c r="BE52" s="13">
        <f>BD52*VLOOKUP('Données projet'!$B$11,Paramètres!$A$1:$I$89,3,0)*VLOOKUP('Données projet'!$B$11,Paramètres!$A$1:$I$89,5,0)</f>
        <v>2.0572770154103635E-13</v>
      </c>
      <c r="BF52" s="13">
        <f t="shared" si="37"/>
        <v>2.8416956338469711E-12</v>
      </c>
      <c r="BG52" s="20">
        <f t="shared" si="7"/>
        <v>5.3075956424674458E-12</v>
      </c>
      <c r="BH52" s="59">
        <f t="shared" si="8"/>
        <v>293.3333333333386</v>
      </c>
      <c r="BI52" s="59">
        <f ca="1">AVERAGE(OFFSET($BH$3,0,0,'Données projet'!$E$11+1,1))-AVERAGE(OFFSET($H$3,0,0,'Données projet'!$E$11+1,1))</f>
        <v>436.23918637269577</v>
      </c>
      <c r="BJ52" s="59">
        <f t="shared" si="38"/>
        <v>611.43967996341894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10.297471987239412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10.297471987239412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</v>
      </c>
      <c r="BY52" s="12">
        <f>IF('Données projet'!$A$114&gt;35,BY51+BX52-CG51,IF(A52&lt;'Données projet'!$A$114,$BV$205^A52,IF(A52='Données projet'!$A$114,'Données projet'!$B$114,BY51+BX52-CG51)))</f>
        <v>269.7999999999999</v>
      </c>
      <c r="BZ52" s="13">
        <f>BY52*VLOOKUP('Données projet'!$B$12,Paramètres!$A$1:$I$89,3,0)*VLOOKUP('Données projet'!$B$12,Paramètres!$A$1:$I$89,5,0)</f>
        <v>227.27951999999993</v>
      </c>
      <c r="CA52" s="13">
        <f t="shared" si="39"/>
        <v>55.694043418351306</v>
      </c>
      <c r="CB52" s="20">
        <f t="shared" si="10"/>
        <v>492.84562295362849</v>
      </c>
      <c r="CC52" s="59">
        <f t="shared" si="11"/>
        <v>786.17895628696181</v>
      </c>
      <c r="CD52" s="59">
        <f ca="1">AVERAGE(OFFSET($CC$3,0,0,'Données projet'!$E$12+1,1))-AVERAGE(OFFSET($H$3,0,0,'Données projet'!$E$12+1,1))</f>
        <v>507.79096804746297</v>
      </c>
      <c r="CE52" s="59">
        <f t="shared" si="40"/>
        <v>312.67921212138998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318.97291652986593</v>
      </c>
      <c r="T53" s="59">
        <f t="shared" si="34"/>
        <v>338.19413170988122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7.2999999999999972</v>
      </c>
      <c r="AI53" s="13">
        <f>IF('Données projet'!$A$62&gt;35,AI52+AH53-AQ52,IF(A53&lt;'Données projet'!$A$62,$AF$205^A53,IF(A53='Données projet'!$A$62,'Données projet'!$B$62,AI52+AH53-AQ52)))</f>
        <v>373.90000000000026</v>
      </c>
      <c r="AJ53" s="13">
        <f>AI53*VLOOKUP('Données projet'!$B$10,Paramètres!$A$1:$I$89,3,0)*VLOOKUP('Données projet'!$B$10,Paramètres!$A$1:$I$89,5,0)</f>
        <v>223.59220000000019</v>
      </c>
      <c r="AK53" s="13">
        <f t="shared" si="35"/>
        <v>54.894895167980749</v>
      </c>
      <c r="AL53" s="20">
        <f t="shared" si="4"/>
        <v>485.03169075090017</v>
      </c>
      <c r="AM53" s="59">
        <f t="shared" si="5"/>
        <v>778.36502408423348</v>
      </c>
      <c r="AN53" s="59">
        <f ca="1">AVERAGE(OFFSET($AM$3,0,0,'Données projet'!$E$10+1,1))-AVERAGE(OFFSET($H$3,0,0,'Données projet'!$E$10+1,1))</f>
        <v>318.97291652986593</v>
      </c>
      <c r="AO53" s="59">
        <f t="shared" si="36"/>
        <v>338.19413170988122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19.756395317105738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3.9415004476168983E-2</v>
      </c>
      <c r="AX53" s="21">
        <f t="shared" si="6"/>
        <v>19.795810321581907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2.2737367544323206E-13</v>
      </c>
      <c r="BE53" s="13">
        <f>BD53*VLOOKUP('Données projet'!$B$11,Paramètres!$A$1:$I$89,3,0)*VLOOKUP('Données projet'!$B$11,Paramètres!$A$1:$I$89,5,0)</f>
        <v>2.0572770154103635E-13</v>
      </c>
      <c r="BF53" s="13">
        <f t="shared" si="37"/>
        <v>2.8416956338469711E-12</v>
      </c>
      <c r="BG53" s="20">
        <f t="shared" si="7"/>
        <v>5.3075956424674458E-12</v>
      </c>
      <c r="BH53" s="59">
        <f t="shared" si="8"/>
        <v>293.3333333333386</v>
      </c>
      <c r="BI53" s="59">
        <f ca="1">AVERAGE(OFFSET($BH$3,0,0,'Données projet'!$E$11+1,1))-AVERAGE(OFFSET($H$3,0,0,'Données projet'!$E$11+1,1))</f>
        <v>436.23918637269577</v>
      </c>
      <c r="BJ53" s="59">
        <f t="shared" si="38"/>
        <v>611.43967996341894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10.095544842407378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10.095544842407378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281</v>
      </c>
      <c r="BW53" s="12">
        <f>VLOOKUP(A53,'Données projet'!$A$113:$I$133,9,0)</f>
        <v>11.2</v>
      </c>
      <c r="BX53" s="12">
        <f t="array" ref="BX53">INDEX(BW:BW,MIN(IF(ISNUMBER(BW53:BW249),ROW(BW53:BW249),"")))</f>
        <v>11.2</v>
      </c>
      <c r="BY53" s="12">
        <f>IF('Données projet'!$A$114&gt;35,BY52+BX53-CG52,IF(A53&lt;'Données projet'!$A$114,$BV$205^A53,IF(A53='Données projet'!$A$114,'Données projet'!$B$114,BY52+BX53-CG52)))</f>
        <v>280.99999999999989</v>
      </c>
      <c r="BZ53" s="13">
        <f>BY53*VLOOKUP('Données projet'!$B$12,Paramètres!$A$1:$I$89,3,0)*VLOOKUP('Données projet'!$B$12,Paramètres!$A$1:$I$89,5,0)</f>
        <v>236.71439999999993</v>
      </c>
      <c r="CA53" s="13">
        <f t="shared" si="39"/>
        <v>57.732051507919294</v>
      </c>
      <c r="CB53" s="20">
        <f t="shared" si="10"/>
        <v>512.82756970962589</v>
      </c>
      <c r="CC53" s="59">
        <f t="shared" si="11"/>
        <v>806.16090304295926</v>
      </c>
      <c r="CD53" s="59">
        <f ca="1">AVERAGE(OFFSET($CC$3,0,0,'Données projet'!$E$12+1,1))-AVERAGE(OFFSET($H$3,0,0,'Données projet'!$E$12+1,1))</f>
        <v>507.79096804746297</v>
      </c>
      <c r="CE53" s="59">
        <f t="shared" si="40"/>
        <v>312.67921212138998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22.424457805062858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22.424457805062858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318.97291652986593</v>
      </c>
      <c r="T54" s="59">
        <f t="shared" si="34"/>
        <v>338.19413170988122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7.2999999999999972</v>
      </c>
      <c r="AI54" s="13">
        <f>IF('Données projet'!$A$62&gt;35,AI53+AH54-AQ53,IF(A54&lt;'Données projet'!$A$62,$AF$205^A54,IF(A54='Données projet'!$A$62,'Données projet'!$B$62,AI53+AH54-AQ53)))</f>
        <v>381.20000000000027</v>
      </c>
      <c r="AJ54" s="13">
        <f>AI54*VLOOKUP('Données projet'!$B$10,Paramètres!$A$1:$I$89,3,0)*VLOOKUP('Données projet'!$B$10,Paramètres!$A$1:$I$89,5,0)</f>
        <v>227.95760000000018</v>
      </c>
      <c r="AK54" s="13">
        <f t="shared" si="35"/>
        <v>55.840837908542632</v>
      </c>
      <c r="AL54" s="20">
        <f t="shared" si="4"/>
        <v>494.28227935737868</v>
      </c>
      <c r="AM54" s="59">
        <f t="shared" si="5"/>
        <v>787.61561269071194</v>
      </c>
      <c r="AN54" s="59">
        <f ca="1">AVERAGE(OFFSET($AM$3,0,0,'Données projet'!$E$10+1,1))-AVERAGE(OFFSET($H$3,0,0,'Données projet'!$E$10+1,1))</f>
        <v>318.97291652986593</v>
      </c>
      <c r="AO54" s="59">
        <f t="shared" si="36"/>
        <v>338.19413170988122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19.368984455148578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2.7870616945597212E-2</v>
      </c>
      <c r="AX54" s="21">
        <f t="shared" si="6"/>
        <v>19.396855072094176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2.2737367544323206E-13</v>
      </c>
      <c r="BE54" s="13">
        <f>BD54*VLOOKUP('Données projet'!$B$11,Paramètres!$A$1:$I$89,3,0)*VLOOKUP('Données projet'!$B$11,Paramètres!$A$1:$I$89,5,0)</f>
        <v>2.0572770154103635E-13</v>
      </c>
      <c r="BF54" s="13">
        <f t="shared" si="37"/>
        <v>2.8416956338469711E-12</v>
      </c>
      <c r="BG54" s="20">
        <f t="shared" si="7"/>
        <v>5.3075956424674458E-12</v>
      </c>
      <c r="BH54" s="59">
        <f t="shared" si="8"/>
        <v>293.3333333333386</v>
      </c>
      <c r="BI54" s="59">
        <f ca="1">AVERAGE(OFFSET($BH$3,0,0,'Données projet'!$E$11+1,1))-AVERAGE(OFFSET($H$3,0,0,'Données projet'!$E$11+1,1))</f>
        <v>436.23918637269577</v>
      </c>
      <c r="BJ54" s="59">
        <f t="shared" si="38"/>
        <v>611.43967996341894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9.8975773657221033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9.8975773657221033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234.7999999999999</v>
      </c>
      <c r="BZ54" s="13">
        <f>BY54*VLOOKUP('Données projet'!$B$12,Paramètres!$A$1:$I$89,3,0)*VLOOKUP('Données projet'!$B$12,Paramètres!$A$1:$I$89,5,0)</f>
        <v>197.79551999999995</v>
      </c>
      <c r="CA54" s="13">
        <f t="shared" si="39"/>
        <v>49.259377667644507</v>
      </c>
      <c r="CB54" s="20">
        <f t="shared" si="10"/>
        <v>430.28728010448077</v>
      </c>
      <c r="CC54" s="59">
        <f t="shared" si="11"/>
        <v>723.62061343781409</v>
      </c>
      <c r="CD54" s="59">
        <f ca="1">AVERAGE(OFFSET($CC$3,0,0,'Données projet'!$E$12+1,1))-AVERAGE(OFFSET($H$3,0,0,'Données projet'!$E$12+1,1))</f>
        <v>507.79096804746297</v>
      </c>
      <c r="CE54" s="59">
        <f t="shared" si="40"/>
        <v>312.67921212138998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21.984727865074287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21.984727865074287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318.97291652986593</v>
      </c>
      <c r="T55" s="59">
        <f t="shared" si="34"/>
        <v>338.19413170988122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7.2999999999999972</v>
      </c>
      <c r="AI55" s="13">
        <f>IF('Données projet'!$A$62&gt;35,AI54+AH55-AQ54,IF(A55&lt;'Données projet'!$A$62,$AF$205^A55,IF(A55='Données projet'!$A$62,'Données projet'!$B$62,AI54+AH55-AQ54)))</f>
        <v>388.50000000000028</v>
      </c>
      <c r="AJ55" s="13">
        <f>AI55*VLOOKUP('Données projet'!$B$10,Paramètres!$A$1:$I$89,3,0)*VLOOKUP('Données projet'!$B$10,Paramètres!$A$1:$I$89,5,0)</f>
        <v>232.32300000000021</v>
      </c>
      <c r="AK55" s="13">
        <f t="shared" si="35"/>
        <v>56.784674292431681</v>
      </c>
      <c r="AL55" s="20">
        <f t="shared" si="4"/>
        <v>503.52919939265217</v>
      </c>
      <c r="AM55" s="59">
        <f t="shared" si="5"/>
        <v>796.86253272598549</v>
      </c>
      <c r="AN55" s="59">
        <f ca="1">AVERAGE(OFFSET($AM$3,0,0,'Données projet'!$E$10+1,1))-AVERAGE(OFFSET($H$3,0,0,'Données projet'!$E$10+1,1))</f>
        <v>318.97291652986593</v>
      </c>
      <c r="AO55" s="59">
        <f t="shared" si="36"/>
        <v>338.19413170988122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18.989170483897105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1.9707502238084491E-2</v>
      </c>
      <c r="AX55" s="21">
        <f t="shared" si="6"/>
        <v>19.00887798613519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2.2737367544323206E-13</v>
      </c>
      <c r="BE55" s="13">
        <f>BD55*VLOOKUP('Données projet'!$B$11,Paramètres!$A$1:$I$89,3,0)*VLOOKUP('Données projet'!$B$11,Paramètres!$A$1:$I$89,5,0)</f>
        <v>2.0572770154103635E-13</v>
      </c>
      <c r="BF55" s="13">
        <f t="shared" si="37"/>
        <v>2.8416956338469711E-12</v>
      </c>
      <c r="BG55" s="20">
        <f t="shared" si="7"/>
        <v>5.3075956424674458E-12</v>
      </c>
      <c r="BH55" s="59">
        <f t="shared" si="8"/>
        <v>293.3333333333386</v>
      </c>
      <c r="BI55" s="59">
        <f ca="1">AVERAGE(OFFSET($BH$3,0,0,'Données projet'!$E$11+1,1))-AVERAGE(OFFSET($H$3,0,0,'Données projet'!$E$11+1,1))</f>
        <v>436.23918637269577</v>
      </c>
      <c r="BJ55" s="59">
        <f t="shared" si="38"/>
        <v>611.43967996341894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9.7034919105063899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9.7034919105063899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244.59999999999991</v>
      </c>
      <c r="BZ55" s="13">
        <f>BY55*VLOOKUP('Données projet'!$B$12,Paramètres!$A$1:$I$89,3,0)*VLOOKUP('Données projet'!$B$12,Paramètres!$A$1:$I$89,5,0)</f>
        <v>206.05103999999992</v>
      </c>
      <c r="CA55" s="13">
        <f t="shared" si="39"/>
        <v>51.071687476618123</v>
      </c>
      <c r="CB55" s="20">
        <f t="shared" si="10"/>
        <v>447.822083688443</v>
      </c>
      <c r="CC55" s="59">
        <f t="shared" si="11"/>
        <v>741.15541702177632</v>
      </c>
      <c r="CD55" s="59">
        <f ca="1">AVERAGE(OFFSET($CC$3,0,0,'Données projet'!$E$12+1,1))-AVERAGE(OFFSET($H$3,0,0,'Données projet'!$E$12+1,1))</f>
        <v>507.79096804746297</v>
      </c>
      <c r="CE55" s="59">
        <f t="shared" si="40"/>
        <v>312.67921212138998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21.553620761000115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21.553620761000115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318.97291652986593</v>
      </c>
      <c r="T56" s="59">
        <f t="shared" si="34"/>
        <v>338.19413170988122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7.2999999999999972</v>
      </c>
      <c r="AI56" s="13">
        <f>IF('Données projet'!$A$62&gt;35,AI55+AH56-AQ55,IF(A56&lt;'Données projet'!$A$62,$AF$205^A56,IF(A56='Données projet'!$A$62,'Données projet'!$B$62,AI55+AH56-AQ55)))</f>
        <v>395.8000000000003</v>
      </c>
      <c r="AJ56" s="13">
        <f>AI56*VLOOKUP('Données projet'!$B$10,Paramètres!$A$1:$I$89,3,0)*VLOOKUP('Données projet'!$B$10,Paramètres!$A$1:$I$89,5,0)</f>
        <v>236.6884000000002</v>
      </c>
      <c r="AK56" s="13">
        <f t="shared" si="35"/>
        <v>57.726448462488456</v>
      </c>
      <c r="AL56" s="20">
        <f t="shared" si="4"/>
        <v>512.77252773883436</v>
      </c>
      <c r="AM56" s="59">
        <f t="shared" si="5"/>
        <v>806.10586107216773</v>
      </c>
      <c r="AN56" s="59">
        <f ca="1">AVERAGE(OFFSET($AM$3,0,0,'Données projet'!$E$10+1,1))-AVERAGE(OFFSET($H$3,0,0,'Données projet'!$E$10+1,1))</f>
        <v>318.97291652986593</v>
      </c>
      <c r="AO56" s="59">
        <f t="shared" si="36"/>
        <v>338.19413170988122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18.616804432958226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1.3935308472798606E-2</v>
      </c>
      <c r="AX56" s="21">
        <f t="shared" si="6"/>
        <v>18.630739741431025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2.2737367544323206E-13</v>
      </c>
      <c r="BE56" s="13">
        <f>BD56*VLOOKUP('Données projet'!$B$11,Paramètres!$A$1:$I$89,3,0)*VLOOKUP('Données projet'!$B$11,Paramètres!$A$1:$I$89,5,0)</f>
        <v>2.0572770154103635E-13</v>
      </c>
      <c r="BF56" s="13">
        <f t="shared" si="37"/>
        <v>2.8416956338469711E-12</v>
      </c>
      <c r="BG56" s="20">
        <f t="shared" si="7"/>
        <v>5.3075956424674458E-12</v>
      </c>
      <c r="BH56" s="59">
        <f t="shared" si="8"/>
        <v>293.3333333333386</v>
      </c>
      <c r="BI56" s="59">
        <f ca="1">AVERAGE(OFFSET($BH$3,0,0,'Données projet'!$E$11+1,1))-AVERAGE(OFFSET($H$3,0,0,'Données projet'!$E$11+1,1))</f>
        <v>436.23918637269577</v>
      </c>
      <c r="BJ56" s="59">
        <f t="shared" si="38"/>
        <v>611.43967996341894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9.5132123526870167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9.5132123526870167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254.39999999999992</v>
      </c>
      <c r="BZ56" s="13">
        <f>BY56*VLOOKUP('Données projet'!$B$12,Paramètres!$A$1:$I$89,3,0)*VLOOKUP('Données projet'!$B$12,Paramètres!$A$1:$I$89,5,0)</f>
        <v>214.30655999999996</v>
      </c>
      <c r="CA56" s="13">
        <f t="shared" si="39"/>
        <v>52.875562666416783</v>
      </c>
      <c r="CB56" s="20">
        <f t="shared" si="10"/>
        <v>465.34219697734244</v>
      </c>
      <c r="CC56" s="59">
        <f t="shared" si="11"/>
        <v>758.67553031067575</v>
      </c>
      <c r="CD56" s="59">
        <f ca="1">AVERAGE(OFFSET($CC$3,0,0,'Données projet'!$E$12+1,1))-AVERAGE(OFFSET($H$3,0,0,'Données projet'!$E$12+1,1))</f>
        <v>507.79096804746297</v>
      </c>
      <c r="CE56" s="59">
        <f t="shared" si="40"/>
        <v>312.67921212138998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21.130967404287468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21.130967404287468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318.97291652986593</v>
      </c>
      <c r="T57" s="59">
        <f t="shared" si="34"/>
        <v>338.19413170988122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403.09999999999997</v>
      </c>
      <c r="AG57" s="12">
        <f>VLOOKUP(A57,'Données projet'!$A$61:$I$81,9,0)</f>
        <v>7.2999999999999972</v>
      </c>
      <c r="AH57" s="12">
        <f t="array" ref="AH57">INDEX(AG:AG,MIN(IF(ISNUMBER(AG57:AG253),ROW(AG57:AG253),"")))</f>
        <v>7.2999999999999972</v>
      </c>
      <c r="AI57" s="13">
        <f>IF('Données projet'!$A$62&gt;35,AI56+AH57-AQ56,IF(A57&lt;'Données projet'!$A$62,$AF$205^A57,IF(A57='Données projet'!$A$62,'Données projet'!$B$62,AI56+AH57-AQ56)))</f>
        <v>403.10000000000031</v>
      </c>
      <c r="AJ57" s="13">
        <f>AI57*VLOOKUP('Données projet'!$B$10,Paramètres!$A$1:$I$89,3,0)*VLOOKUP('Données projet'!$B$10,Paramètres!$A$1:$I$89,5,0)</f>
        <v>241.05380000000022</v>
      </c>
      <c r="AK57" s="13">
        <f t="shared" si="35"/>
        <v>58.666202840030898</v>
      </c>
      <c r="AL57" s="20">
        <f t="shared" si="4"/>
        <v>522.01233827972089</v>
      </c>
      <c r="AM57" s="59">
        <f t="shared" si="5"/>
        <v>815.34567161305426</v>
      </c>
      <c r="AN57" s="59">
        <f ca="1">AVERAGE(OFFSET($AM$3,0,0,'Données projet'!$E$10+1,1))-AVERAGE(OFFSET($H$3,0,0,'Données projet'!$E$10+1,1))</f>
        <v>318.97291652986593</v>
      </c>
      <c r="AO57" s="59">
        <f t="shared" si="36"/>
        <v>338.19413170988122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17.399999999999999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18.251740253157394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9.8537511190422457E-3</v>
      </c>
      <c r="AX57" s="21">
        <f t="shared" si="6"/>
        <v>18.261594004276436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2.2737367544323206E-13</v>
      </c>
      <c r="BE57" s="13">
        <f>BD57*VLOOKUP('Données projet'!$B$11,Paramètres!$A$1:$I$89,3,0)*VLOOKUP('Données projet'!$B$11,Paramètres!$A$1:$I$89,5,0)</f>
        <v>2.0572770154103635E-13</v>
      </c>
      <c r="BF57" s="13">
        <f t="shared" si="37"/>
        <v>2.8416956338469711E-12</v>
      </c>
      <c r="BG57" s="20">
        <f t="shared" si="7"/>
        <v>5.3075956424674458E-12</v>
      </c>
      <c r="BH57" s="59">
        <f t="shared" si="8"/>
        <v>293.3333333333386</v>
      </c>
      <c r="BI57" s="59">
        <f ca="1">AVERAGE(OFFSET($BH$3,0,0,'Données projet'!$E$11+1,1))-AVERAGE(OFFSET($H$3,0,0,'Données projet'!$E$11+1,1))</f>
        <v>436.23918637269577</v>
      </c>
      <c r="BJ57" s="59">
        <f t="shared" si="38"/>
        <v>611.43967996341894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9.3266640609374107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9.3266640609374107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264.19999999999993</v>
      </c>
      <c r="BZ57" s="13">
        <f>BY57*VLOOKUP('Données projet'!$B$12,Paramètres!$A$1:$I$89,3,0)*VLOOKUP('Données projet'!$B$12,Paramètres!$A$1:$I$89,5,0)</f>
        <v>222.56207999999998</v>
      </c>
      <c r="CA57" s="13">
        <f t="shared" si="39"/>
        <v>54.671365346393124</v>
      </c>
      <c r="CB57" s="20">
        <f t="shared" si="10"/>
        <v>482.848250644968</v>
      </c>
      <c r="CC57" s="59">
        <f t="shared" si="11"/>
        <v>776.18158397830132</v>
      </c>
      <c r="CD57" s="59">
        <f ca="1">AVERAGE(OFFSET($CC$3,0,0,'Données projet'!$E$12+1,1))-AVERAGE(OFFSET($H$3,0,0,'Données projet'!$E$12+1,1))</f>
        <v>507.79096804746297</v>
      </c>
      <c r="CE57" s="59">
        <f t="shared" si="40"/>
        <v>312.67921212138998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20.716602022106862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20.716602022106862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318.97291652986593</v>
      </c>
      <c r="T58" s="59">
        <f t="shared" si="34"/>
        <v>338.19413170988122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3.0375000000000085</v>
      </c>
      <c r="AI58" s="13">
        <f>IF('Données projet'!$A$62&gt;35,AI57+AH58-AQ57,IF(A58&lt;'Données projet'!$A$62,$AF$205^A58,IF(A58='Données projet'!$A$62,'Données projet'!$B$62,AI57+AH58-AQ57)))</f>
        <v>388.73750000000035</v>
      </c>
      <c r="AJ58" s="13">
        <f>AI58*VLOOKUP('Données projet'!$B$10,Paramètres!$A$1:$I$89,3,0)*VLOOKUP('Données projet'!$B$10,Paramètres!$A$1:$I$89,5,0)</f>
        <v>232.46502500000025</v>
      </c>
      <c r="AK58" s="13">
        <f t="shared" si="35"/>
        <v>56.81534642612386</v>
      </c>
      <c r="AL58" s="20">
        <f t="shared" si="4"/>
        <v>503.82998023383288</v>
      </c>
      <c r="AM58" s="59">
        <f t="shared" si="5"/>
        <v>797.16331356716614</v>
      </c>
      <c r="AN58" s="59">
        <f ca="1">AVERAGE(OFFSET($AM$3,0,0,'Données projet'!$E$10+1,1))-AVERAGE(OFFSET($H$3,0,0,'Données projet'!$E$10+1,1))</f>
        <v>318.97291652986593</v>
      </c>
      <c r="AO58" s="59">
        <f t="shared" si="36"/>
        <v>338.19413170988122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17.893834759255292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6.9676542363993031E-3</v>
      </c>
      <c r="AX58" s="21">
        <f t="shared" si="6"/>
        <v>17.900802413491689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2.2737367544323206E-13</v>
      </c>
      <c r="BE58" s="13">
        <f>BD58*VLOOKUP('Données projet'!$B$11,Paramètres!$A$1:$I$89,3,0)*VLOOKUP('Données projet'!$B$11,Paramètres!$A$1:$I$89,5,0)</f>
        <v>2.0572770154103635E-13</v>
      </c>
      <c r="BF58" s="13">
        <f t="shared" si="37"/>
        <v>2.8416956338469711E-12</v>
      </c>
      <c r="BG58" s="20">
        <f t="shared" si="7"/>
        <v>5.3075956424674458E-12</v>
      </c>
      <c r="BH58" s="59">
        <f t="shared" si="8"/>
        <v>293.3333333333386</v>
      </c>
      <c r="BI58" s="59">
        <f ca="1">AVERAGE(OFFSET($BH$3,0,0,'Données projet'!$E$11+1,1))-AVERAGE(OFFSET($H$3,0,0,'Données projet'!$E$11+1,1))</f>
        <v>436.23918637269577</v>
      </c>
      <c r="BJ58" s="59">
        <f t="shared" si="38"/>
        <v>611.43967996341894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9.1437738674057929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9.1437738674057929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273.99999999999994</v>
      </c>
      <c r="BZ58" s="13">
        <f>BY58*VLOOKUP('Données projet'!$B$12,Paramètres!$A$1:$I$89,3,0)*VLOOKUP('Données projet'!$B$12,Paramètres!$A$1:$I$89,5,0)</f>
        <v>230.81759999999997</v>
      </c>
      <c r="CA58" s="13">
        <f t="shared" si="39"/>
        <v>56.459429240325889</v>
      </c>
      <c r="CB58" s="20">
        <f t="shared" si="10"/>
        <v>500.34082592690083</v>
      </c>
      <c r="CC58" s="59">
        <f t="shared" si="11"/>
        <v>793.67415926023409</v>
      </c>
      <c r="CD58" s="59">
        <f ca="1">AVERAGE(OFFSET($CC$3,0,0,'Données projet'!$E$12+1,1))-AVERAGE(OFFSET($H$3,0,0,'Données projet'!$E$12+1,1))</f>
        <v>507.79096804746297</v>
      </c>
      <c r="CE58" s="59">
        <f t="shared" si="40"/>
        <v>312.67921212138998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20.310362092332891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20.310362092332891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318.97291652986593</v>
      </c>
      <c r="T59" s="59">
        <f t="shared" si="34"/>
        <v>338.19413170988122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3.0375000000000085</v>
      </c>
      <c r="AI59" s="13">
        <f>IF('Données projet'!$A$62&gt;35,AI58+AH59-AQ58,IF(A59&lt;'Données projet'!$A$62,$AF$205^A59,IF(A59='Données projet'!$A$62,'Données projet'!$B$62,AI58+AH59-AQ58)))</f>
        <v>391.77500000000038</v>
      </c>
      <c r="AJ59" s="13">
        <f>AI59*VLOOKUP('Données projet'!$B$10,Paramètres!$A$1:$I$89,3,0)*VLOOKUP('Données projet'!$B$10,Paramètres!$A$1:$I$89,5,0)</f>
        <v>234.28145000000023</v>
      </c>
      <c r="AK59" s="13">
        <f t="shared" si="35"/>
        <v>57.207435050889636</v>
      </c>
      <c r="AL59" s="20">
        <f t="shared" si="4"/>
        <v>507.67647479696649</v>
      </c>
      <c r="AM59" s="59">
        <f t="shared" si="5"/>
        <v>801.0098081302998</v>
      </c>
      <c r="AN59" s="59">
        <f ca="1">AVERAGE(OFFSET($AM$3,0,0,'Données projet'!$E$10+1,1))-AVERAGE(OFFSET($H$3,0,0,'Données projet'!$E$10+1,1))</f>
        <v>318.97291652986593</v>
      </c>
      <c r="AO59" s="59">
        <f t="shared" si="36"/>
        <v>338.19413170988122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17.542947573787814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4.9268755595211228E-3</v>
      </c>
      <c r="AX59" s="21">
        <f t="shared" si="6"/>
        <v>17.547874449347336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2.2737367544323206E-13</v>
      </c>
      <c r="BE59" s="13">
        <f>BD59*VLOOKUP('Données projet'!$B$11,Paramètres!$A$1:$I$89,3,0)*VLOOKUP('Données projet'!$B$11,Paramètres!$A$1:$I$89,5,0)</f>
        <v>2.0572770154103635E-13</v>
      </c>
      <c r="BF59" s="13">
        <f t="shared" si="37"/>
        <v>2.8416956338469711E-12</v>
      </c>
      <c r="BG59" s="20">
        <f t="shared" si="7"/>
        <v>5.3075956424674458E-12</v>
      </c>
      <c r="BH59" s="59">
        <f t="shared" si="8"/>
        <v>293.3333333333386</v>
      </c>
      <c r="BI59" s="59">
        <f ca="1">AVERAGE(OFFSET($BH$3,0,0,'Données projet'!$E$11+1,1))-AVERAGE(OFFSET($H$3,0,0,'Données projet'!$E$11+1,1))</f>
        <v>436.23918637269577</v>
      </c>
      <c r="BJ59" s="59">
        <f t="shared" si="38"/>
        <v>611.43967996341894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8.9644700390173266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8.9644700390173266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283.79999999999995</v>
      </c>
      <c r="BZ59" s="13">
        <f>BY59*VLOOKUP('Données projet'!$B$12,Paramètres!$A$1:$I$89,3,0)*VLOOKUP('Données projet'!$B$12,Paramètres!$A$1:$I$89,5,0)</f>
        <v>239.07311999999999</v>
      </c>
      <c r="CA59" s="13">
        <f t="shared" si="39"/>
        <v>58.240062846534926</v>
      </c>
      <c r="CB59" s="20">
        <f t="shared" si="10"/>
        <v>517.82046012438161</v>
      </c>
      <c r="CC59" s="59">
        <f t="shared" si="11"/>
        <v>811.15379345771498</v>
      </c>
      <c r="CD59" s="59">
        <f ca="1">AVERAGE(OFFSET($CC$3,0,0,'Données projet'!$E$12+1,1))-AVERAGE(OFFSET($H$3,0,0,'Données projet'!$E$12+1,1))</f>
        <v>507.79096804746297</v>
      </c>
      <c r="CE59" s="59">
        <f t="shared" si="40"/>
        <v>312.67921212138998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19.912088279799896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19.912088279799896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318.97291652986593</v>
      </c>
      <c r="T60" s="59">
        <f t="shared" si="34"/>
        <v>338.19413170988122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3.0375000000000085</v>
      </c>
      <c r="AI60" s="13">
        <f>IF('Données projet'!$A$62&gt;35,AI59+AH60-AQ59,IF(A60&lt;'Données projet'!$A$62,$AF$205^A60,IF(A60='Données projet'!$A$62,'Données projet'!$B$62,AI59+AH60-AQ59)))</f>
        <v>394.8125000000004</v>
      </c>
      <c r="AJ60" s="13">
        <f>AI60*VLOOKUP('Données projet'!$B$10,Paramètres!$A$1:$I$89,3,0)*VLOOKUP('Données projet'!$B$10,Paramètres!$A$1:$I$89,5,0)</f>
        <v>236.09787500000024</v>
      </c>
      <c r="AK60" s="13">
        <f t="shared" si="35"/>
        <v>57.599169983491038</v>
      </c>
      <c r="AL60" s="20">
        <f t="shared" si="4"/>
        <v>511.52235334624737</v>
      </c>
      <c r="AM60" s="59">
        <f t="shared" si="5"/>
        <v>804.85568667958069</v>
      </c>
      <c r="AN60" s="59">
        <f ca="1">AVERAGE(OFFSET($AM$3,0,0,'Données projet'!$E$10+1,1))-AVERAGE(OFFSET($H$3,0,0,'Données projet'!$E$10+1,1))</f>
        <v>318.97291652986593</v>
      </c>
      <c r="AO60" s="59">
        <f t="shared" si="36"/>
        <v>338.19413170988122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17.198941072007305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3.4838271181996516E-3</v>
      </c>
      <c r="AX60" s="21">
        <f t="shared" si="6"/>
        <v>17.202424899125504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2.2737367544323206E-13</v>
      </c>
      <c r="BE60" s="13">
        <f>BD60*VLOOKUP('Données projet'!$B$11,Paramètres!$A$1:$I$89,3,0)*VLOOKUP('Données projet'!$B$11,Paramètres!$A$1:$I$89,5,0)</f>
        <v>2.0572770154103635E-13</v>
      </c>
      <c r="BF60" s="13">
        <f t="shared" si="37"/>
        <v>2.8416956338469711E-12</v>
      </c>
      <c r="BG60" s="20">
        <f t="shared" si="7"/>
        <v>5.3075956424674458E-12</v>
      </c>
      <c r="BH60" s="59">
        <f t="shared" si="8"/>
        <v>293.3333333333386</v>
      </c>
      <c r="BI60" s="59">
        <f ca="1">AVERAGE(OFFSET($BH$3,0,0,'Données projet'!$E$11+1,1))-AVERAGE(OFFSET($H$3,0,0,'Données projet'!$E$11+1,1))</f>
        <v>436.23918637269577</v>
      </c>
      <c r="BJ60" s="59">
        <f t="shared" si="38"/>
        <v>611.43967996341894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8.788682249339022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8.788682249339022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293.59999999999997</v>
      </c>
      <c r="BZ60" s="13">
        <f>BY60*VLOOKUP('Données projet'!$B$12,Paramètres!$A$1:$I$89,3,0)*VLOOKUP('Données projet'!$B$12,Paramètres!$A$1:$I$89,5,0)</f>
        <v>247.32863999999998</v>
      </c>
      <c r="CA60" s="13">
        <f t="shared" si="39"/>
        <v>60.013552149240468</v>
      </c>
      <c r="CB60" s="20">
        <f t="shared" si="10"/>
        <v>535.28765132659362</v>
      </c>
      <c r="CC60" s="59">
        <f t="shared" si="11"/>
        <v>828.62098465992699</v>
      </c>
      <c r="CD60" s="59">
        <f ca="1">AVERAGE(OFFSET($CC$3,0,0,'Données projet'!$E$12+1,1))-AVERAGE(OFFSET($H$3,0,0,'Données projet'!$E$12+1,1))</f>
        <v>507.79096804746297</v>
      </c>
      <c r="CE60" s="59">
        <f t="shared" si="40"/>
        <v>312.67921212138998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19.521624373807633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19.521624373807633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318.97291652986593</v>
      </c>
      <c r="T61" s="59">
        <f t="shared" si="34"/>
        <v>338.19413170988122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3.0375000000000085</v>
      </c>
      <c r="AI61" s="13">
        <f>IF('Données projet'!$A$62&gt;35,AI60+AH61-AQ60,IF(A61&lt;'Données projet'!$A$62,$AF$205^A61,IF(A61='Données projet'!$A$62,'Données projet'!$B$62,AI60+AH61-AQ60)))</f>
        <v>397.85000000000042</v>
      </c>
      <c r="AJ61" s="13">
        <f>AI61*VLOOKUP('Données projet'!$B$10,Paramètres!$A$1:$I$89,3,0)*VLOOKUP('Données projet'!$B$10,Paramètres!$A$1:$I$89,5,0)</f>
        <v>237.91430000000025</v>
      </c>
      <c r="AK61" s="13">
        <f t="shared" si="35"/>
        <v>57.990554260508603</v>
      </c>
      <c r="AL61" s="20">
        <f t="shared" si="4"/>
        <v>515.3676211703862</v>
      </c>
      <c r="AM61" s="59">
        <f t="shared" si="5"/>
        <v>808.70095450371946</v>
      </c>
      <c r="AN61" s="59">
        <f ca="1">AVERAGE(OFFSET($AM$3,0,0,'Données projet'!$E$10+1,1))-AVERAGE(OFFSET($H$3,0,0,'Données projet'!$E$10+1,1))</f>
        <v>318.97291652986593</v>
      </c>
      <c r="AO61" s="59">
        <f t="shared" si="36"/>
        <v>338.19413170988122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16.861680327903464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2.4634377797605614E-3</v>
      </c>
      <c r="AX61" s="21">
        <f t="shared" si="6"/>
        <v>16.864143765683224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2.2737367544323206E-13</v>
      </c>
      <c r="BE61" s="13">
        <f>BD61*VLOOKUP('Données projet'!$B$11,Paramètres!$A$1:$I$89,3,0)*VLOOKUP('Données projet'!$B$11,Paramètres!$A$1:$I$89,5,0)</f>
        <v>2.0572770154103635E-13</v>
      </c>
      <c r="BF61" s="13">
        <f t="shared" si="37"/>
        <v>2.8416956338469711E-12</v>
      </c>
      <c r="BG61" s="20">
        <f t="shared" si="7"/>
        <v>5.3075956424674458E-12</v>
      </c>
      <c r="BH61" s="59">
        <f t="shared" si="8"/>
        <v>293.3333333333386</v>
      </c>
      <c r="BI61" s="59">
        <f ca="1">AVERAGE(OFFSET($BH$3,0,0,'Données projet'!$E$11+1,1))-AVERAGE(OFFSET($H$3,0,0,'Données projet'!$E$11+1,1))</f>
        <v>436.23918637269577</v>
      </c>
      <c r="BJ61" s="59">
        <f t="shared" si="38"/>
        <v>611.43967996341894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8.6163415509963439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8.6163415509963439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303.39999999999998</v>
      </c>
      <c r="BZ61" s="13">
        <f>BY61*VLOOKUP('Données projet'!$B$12,Paramètres!$A$1:$I$89,3,0)*VLOOKUP('Données projet'!$B$12,Paramètres!$A$1:$I$89,5,0)</f>
        <v>255.58416</v>
      </c>
      <c r="CA61" s="13">
        <f t="shared" si="39"/>
        <v>61.780162957746263</v>
      </c>
      <c r="CB61" s="20">
        <f t="shared" si="10"/>
        <v>552.74286248474129</v>
      </c>
      <c r="CC61" s="59">
        <f t="shared" si="11"/>
        <v>846.07619581807467</v>
      </c>
      <c r="CD61" s="59">
        <f ca="1">AVERAGE(OFFSET($CC$3,0,0,'Données projet'!$E$12+1,1))-AVERAGE(OFFSET($H$3,0,0,'Données projet'!$E$12+1,1))</f>
        <v>507.79096804746297</v>
      </c>
      <c r="CE61" s="59">
        <f t="shared" si="40"/>
        <v>312.67921212138998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19.138817226852414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19.138817226852414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318.97291652986593</v>
      </c>
      <c r="T62" s="59">
        <f t="shared" si="34"/>
        <v>338.19413170988122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3.0375000000000085</v>
      </c>
      <c r="AI62" s="13">
        <f>IF('Données projet'!$A$62&gt;35,AI61+AH62-AQ61,IF(A62&lt;'Données projet'!$A$62,$AF$205^A62,IF(A62='Données projet'!$A$62,'Données projet'!$B$62,AI61+AH62-AQ61)))</f>
        <v>400.88750000000044</v>
      </c>
      <c r="AJ62" s="13">
        <f>AI62*VLOOKUP('Données projet'!$B$10,Paramètres!$A$1:$I$89,3,0)*VLOOKUP('Données projet'!$B$10,Paramètres!$A$1:$I$89,5,0)</f>
        <v>239.73072500000029</v>
      </c>
      <c r="AK62" s="13">
        <f t="shared" si="35"/>
        <v>58.381590869477499</v>
      </c>
      <c r="AL62" s="20">
        <f t="shared" si="4"/>
        <v>519.2122834726739</v>
      </c>
      <c r="AM62" s="59">
        <f t="shared" si="5"/>
        <v>812.54561680600727</v>
      </c>
      <c r="AN62" s="59">
        <f ca="1">AVERAGE(OFFSET($AM$3,0,0,'Données projet'!$E$10+1,1))-AVERAGE(OFFSET($H$3,0,0,'Données projet'!$E$10+1,1))</f>
        <v>318.97291652986593</v>
      </c>
      <c r="AO62" s="59">
        <f t="shared" si="36"/>
        <v>338.19413170988122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16.531033061282756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1.7419135590998258E-3</v>
      </c>
      <c r="AX62" s="21">
        <f t="shared" si="6"/>
        <v>16.532774974841857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2.2737367544323206E-13</v>
      </c>
      <c r="BE62" s="13">
        <f>BD62*VLOOKUP('Données projet'!$B$11,Paramètres!$A$1:$I$89,3,0)*VLOOKUP('Données projet'!$B$11,Paramètres!$A$1:$I$89,5,0)</f>
        <v>2.0572770154103635E-13</v>
      </c>
      <c r="BF62" s="13">
        <f t="shared" si="37"/>
        <v>2.8416956338469711E-12</v>
      </c>
      <c r="BG62" s="20">
        <f t="shared" si="7"/>
        <v>5.3075956424674458E-12</v>
      </c>
      <c r="BH62" s="59">
        <f t="shared" si="8"/>
        <v>293.3333333333386</v>
      </c>
      <c r="BI62" s="59">
        <f ca="1">AVERAGE(OFFSET($BH$3,0,0,'Données projet'!$E$11+1,1))-AVERAGE(OFFSET($H$3,0,0,'Données projet'!$E$11+1,1))</f>
        <v>436.23918637269577</v>
      </c>
      <c r="BJ62" s="59">
        <f t="shared" si="38"/>
        <v>611.43967996341894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8.4473803486307197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8.4473803486307197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313.2</v>
      </c>
      <c r="BZ62" s="13">
        <f>BY62*VLOOKUP('Données projet'!$B$12,Paramètres!$A$1:$I$89,3,0)*VLOOKUP('Données projet'!$B$12,Paramètres!$A$1:$I$89,5,0)</f>
        <v>263.83968000000004</v>
      </c>
      <c r="CA62" s="13">
        <f t="shared" si="39"/>
        <v>63.540142934904836</v>
      </c>
      <c r="CB62" s="20">
        <f t="shared" si="10"/>
        <v>570.18652494495939</v>
      </c>
      <c r="CC62" s="59">
        <f t="shared" si="11"/>
        <v>863.51985827829276</v>
      </c>
      <c r="CD62" s="59">
        <f ca="1">AVERAGE(OFFSET($CC$3,0,0,'Données projet'!$E$12+1,1))-AVERAGE(OFFSET($H$3,0,0,'Données projet'!$E$12+1,1))</f>
        <v>507.79096804746297</v>
      </c>
      <c r="CE62" s="59">
        <f t="shared" si="40"/>
        <v>312.67921212138998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18.76351669455968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18.76351669455968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318.97291652986593</v>
      </c>
      <c r="T63" s="59">
        <f t="shared" si="34"/>
        <v>338.19413170988122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3.0375000000000085</v>
      </c>
      <c r="AI63" s="13">
        <f>IF('Données projet'!$A$62&gt;35,AI62+AH63-AQ62,IF(A63&lt;'Données projet'!$A$62,$AF$205^A63,IF(A63='Données projet'!$A$62,'Données projet'!$B$62,AI62+AH63-AQ62)))</f>
        <v>403.92500000000047</v>
      </c>
      <c r="AJ63" s="13">
        <f>AI63*VLOOKUP('Données projet'!$B$10,Paramètres!$A$1:$I$89,3,0)*VLOOKUP('Données projet'!$B$10,Paramètres!$A$1:$I$89,5,0)</f>
        <v>241.5471500000003</v>
      </c>
      <c r="AK63" s="13">
        <f t="shared" si="35"/>
        <v>58.772282750044901</v>
      </c>
      <c r="AL63" s="20">
        <f t="shared" si="4"/>
        <v>523.05634537299545</v>
      </c>
      <c r="AM63" s="59">
        <f t="shared" si="5"/>
        <v>816.38967870632882</v>
      </c>
      <c r="AN63" s="59">
        <f ca="1">AVERAGE(OFFSET($AM$3,0,0,'Données projet'!$E$10+1,1))-AVERAGE(OFFSET($H$3,0,0,'Données projet'!$E$10+1,1))</f>
        <v>318.97291652986593</v>
      </c>
      <c r="AO63" s="59">
        <f t="shared" si="36"/>
        <v>338.19413170988122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16.20686958588556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1.2317188898802807E-3</v>
      </c>
      <c r="AX63" s="21">
        <f t="shared" si="6"/>
        <v>16.20810130477544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2.2737367544323206E-13</v>
      </c>
      <c r="BE63" s="13">
        <f>BD63*VLOOKUP('Données projet'!$B$11,Paramètres!$A$1:$I$89,3,0)*VLOOKUP('Données projet'!$B$11,Paramètres!$A$1:$I$89,5,0)</f>
        <v>2.0572770154103635E-13</v>
      </c>
      <c r="BF63" s="13">
        <f t="shared" si="37"/>
        <v>2.8416956338469711E-12</v>
      </c>
      <c r="BG63" s="20">
        <f t="shared" si="7"/>
        <v>5.3075956424674458E-12</v>
      </c>
      <c r="BH63" s="59">
        <f t="shared" si="8"/>
        <v>293.3333333333386</v>
      </c>
      <c r="BI63" s="59">
        <f ca="1">AVERAGE(OFFSET($BH$3,0,0,'Données projet'!$E$11+1,1))-AVERAGE(OFFSET($H$3,0,0,'Données projet'!$E$11+1,1))</f>
        <v>436.23918637269577</v>
      </c>
      <c r="BJ63" s="59">
        <f t="shared" si="38"/>
        <v>611.43967996341894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8.281732372387328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8.281732372387328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323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323</v>
      </c>
      <c r="BZ63" s="13">
        <f>BY63*VLOOKUP('Données projet'!$B$12,Paramètres!$A$1:$I$89,3,0)*VLOOKUP('Données projet'!$B$12,Paramètres!$A$1:$I$89,5,0)</f>
        <v>272.09520000000003</v>
      </c>
      <c r="CA63" s="13">
        <f t="shared" si="39"/>
        <v>65.293723364568436</v>
      </c>
      <c r="CB63" s="20">
        <f t="shared" si="10"/>
        <v>587.61904152662339</v>
      </c>
      <c r="CC63" s="59">
        <f t="shared" si="11"/>
        <v>880.95237485995676</v>
      </c>
      <c r="CD63" s="59">
        <f ca="1">AVERAGE(OFFSET($CC$3,0,0,'Données projet'!$E$12+1,1))-AVERAGE(OFFSET($H$3,0,0,'Données projet'!$E$12+1,1))</f>
        <v>507.79096804746297</v>
      </c>
      <c r="CE63" s="59">
        <f t="shared" si="40"/>
        <v>312.67921212138998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18.395575576794485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18.395575576794485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318.97291652986593</v>
      </c>
      <c r="T64" s="59">
        <f t="shared" si="34"/>
        <v>338.19413170988122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3.0375000000000085</v>
      </c>
      <c r="AI64" s="13">
        <f>IF('Données projet'!$A$62&gt;35,AI63+AH64-AQ63,IF(A64&lt;'Données projet'!$A$62,$AF$205^A64,IF(A64='Données projet'!$A$62,'Données projet'!$B$62,AI63+AH64-AQ63)))</f>
        <v>406.96250000000049</v>
      </c>
      <c r="AJ64" s="13">
        <f>AI64*VLOOKUP('Données projet'!$B$10,Paramètres!$A$1:$I$89,3,0)*VLOOKUP('Données projet'!$B$10,Paramètres!$A$1:$I$89,5,0)</f>
        <v>243.36357500000031</v>
      </c>
      <c r="AK64" s="13">
        <f t="shared" si="35"/>
        <v>59.162632795092129</v>
      </c>
      <c r="AL64" s="20">
        <f t="shared" si="4"/>
        <v>526.89981190978597</v>
      </c>
      <c r="AM64" s="59">
        <f t="shared" si="5"/>
        <v>820.23314524311922</v>
      </c>
      <c r="AN64" s="59">
        <f ca="1">AVERAGE(OFFSET($AM$3,0,0,'Données projet'!$E$10+1,1))-AVERAGE(OFFSET($H$3,0,0,'Données projet'!$E$10+1,1))</f>
        <v>318.97291652986593</v>
      </c>
      <c r="AO64" s="59">
        <f t="shared" si="36"/>
        <v>338.19413170988122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15.889062758520707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8.7095677954991289E-4</v>
      </c>
      <c r="AX64" s="21">
        <f t="shared" si="6"/>
        <v>15.889933715300257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2.2737367544323206E-13</v>
      </c>
      <c r="BE64" s="13">
        <f>BD64*VLOOKUP('Données projet'!$B$11,Paramètres!$A$1:$I$89,3,0)*VLOOKUP('Données projet'!$B$11,Paramètres!$A$1:$I$89,5,0)</f>
        <v>2.0572770154103635E-13</v>
      </c>
      <c r="BF64" s="13">
        <f t="shared" si="37"/>
        <v>2.8416956338469711E-12</v>
      </c>
      <c r="BG64" s="20">
        <f t="shared" si="7"/>
        <v>5.3075956424674458E-12</v>
      </c>
      <c r="BH64" s="59">
        <f t="shared" si="8"/>
        <v>293.3333333333386</v>
      </c>
      <c r="BI64" s="59">
        <f ca="1">AVERAGE(OFFSET($BH$3,0,0,'Données projet'!$E$11+1,1))-AVERAGE(OFFSET($H$3,0,0,'Données projet'!$E$11+1,1))</f>
        <v>436.23918637269577</v>
      </c>
      <c r="BJ64" s="59">
        <f t="shared" si="38"/>
        <v>611.43967996341894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8.1193326519227789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8.1193326519227789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275.5</v>
      </c>
      <c r="BZ64" s="13">
        <f>BY64*VLOOKUP('Données projet'!$B$12,Paramètres!$A$1:$I$89,3,0)*VLOOKUP('Données projet'!$B$12,Paramètres!$A$1:$I$89,5,0)</f>
        <v>232.08120000000002</v>
      </c>
      <c r="CA64" s="13">
        <f t="shared" si="39"/>
        <v>56.732449436321637</v>
      </c>
      <c r="CB64" s="20">
        <f t="shared" si="10"/>
        <v>503.01710610159353</v>
      </c>
      <c r="CC64" s="59">
        <f t="shared" si="11"/>
        <v>796.35043943492678</v>
      </c>
      <c r="CD64" s="59">
        <f ca="1">AVERAGE(OFFSET($CC$3,0,0,'Données projet'!$E$12+1,1))-AVERAGE(OFFSET($H$3,0,0,'Données projet'!$E$12+1,1))</f>
        <v>507.79096804746297</v>
      </c>
      <c r="CE64" s="59">
        <f t="shared" si="40"/>
        <v>312.67921212138998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18.034849559926744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18.034849559926744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318.97291652986593</v>
      </c>
      <c r="T65" s="59">
        <f t="shared" si="34"/>
        <v>338.19413170988122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410.00000000000006</v>
      </c>
      <c r="AG65" s="12">
        <f>VLOOKUP(A65,'Données projet'!$A$61:$I$81,9,0)</f>
        <v>3.0375000000000085</v>
      </c>
      <c r="AH65" s="12">
        <f t="array" ref="AH65">INDEX(AG:AG,MIN(IF(ISNUMBER(AG65:AG261),ROW(AG65:AG261),"")))</f>
        <v>3.0375000000000085</v>
      </c>
      <c r="AI65" s="13">
        <f>IF('Données projet'!$A$62&gt;35,AI64+AH65-AQ64,IF(A65&lt;'Données projet'!$A$62,$AF$205^A65,IF(A65='Données projet'!$A$62,'Données projet'!$B$62,AI64+AH65-AQ64)))</f>
        <v>410.00000000000051</v>
      </c>
      <c r="AJ65" s="13">
        <f>AI65*VLOOKUP('Données projet'!$B$10,Paramètres!$A$1:$I$89,3,0)*VLOOKUP('Données projet'!$B$10,Paramètres!$A$1:$I$89,5,0)</f>
        <v>245.18000000000032</v>
      </c>
      <c r="AK65" s="13">
        <f t="shared" si="35"/>
        <v>59.552643851821543</v>
      </c>
      <c r="AL65" s="20">
        <f t="shared" si="4"/>
        <v>530.74268804192309</v>
      </c>
      <c r="AM65" s="59">
        <f t="shared" si="5"/>
        <v>824.07602137525646</v>
      </c>
      <c r="AN65" s="59">
        <f ca="1">AVERAGE(OFFSET($AM$3,0,0,'Données projet'!$E$10+1,1))-AVERAGE(OFFSET($H$3,0,0,'Données projet'!$E$10+1,1))</f>
        <v>318.97291652986593</v>
      </c>
      <c r="AO65" s="59">
        <f t="shared" si="36"/>
        <v>338.19413170988122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410.00000000000006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15.577487929197455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6.1585944494014036E-4</v>
      </c>
      <c r="AX65" s="21">
        <f t="shared" si="6"/>
        <v>15.578103788642395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2.2737367544323206E-13</v>
      </c>
      <c r="BE65" s="13">
        <f>BD65*VLOOKUP('Données projet'!$B$11,Paramètres!$A$1:$I$89,3,0)*VLOOKUP('Données projet'!$B$11,Paramètres!$A$1:$I$89,5,0)</f>
        <v>2.0572770154103635E-13</v>
      </c>
      <c r="BF65" s="13">
        <f t="shared" si="37"/>
        <v>2.8416956338469711E-12</v>
      </c>
      <c r="BG65" s="20">
        <f t="shared" si="7"/>
        <v>5.3075956424674458E-12</v>
      </c>
      <c r="BH65" s="59">
        <f t="shared" si="8"/>
        <v>293.3333333333386</v>
      </c>
      <c r="BI65" s="59">
        <f ca="1">AVERAGE(OFFSET($BH$3,0,0,'Données projet'!$E$11+1,1))-AVERAGE(OFFSET($H$3,0,0,'Données projet'!$E$11+1,1))</f>
        <v>436.23918637269577</v>
      </c>
      <c r="BJ65" s="59">
        <f t="shared" si="38"/>
        <v>611.43967996341894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7.9601174909224914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7.9601174909224914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284</v>
      </c>
      <c r="BZ65" s="13">
        <f>BY65*VLOOKUP('Données projet'!$B$12,Paramètres!$A$1:$I$89,3,0)*VLOOKUP('Données projet'!$B$12,Paramètres!$A$1:$I$89,5,0)</f>
        <v>239.24160000000003</v>
      </c>
      <c r="CA65" s="13">
        <f t="shared" si="39"/>
        <v>58.276326982845887</v>
      </c>
      <c r="CB65" s="20">
        <f t="shared" si="10"/>
        <v>518.17705616178989</v>
      </c>
      <c r="CC65" s="59">
        <f t="shared" si="11"/>
        <v>811.51038949512326</v>
      </c>
      <c r="CD65" s="59">
        <f ca="1">AVERAGE(OFFSET($CC$3,0,0,'Données projet'!$E$12+1,1))-AVERAGE(OFFSET($H$3,0,0,'Données projet'!$E$12+1,1))</f>
        <v>507.79096804746297</v>
      </c>
      <c r="CE65" s="59">
        <f t="shared" si="40"/>
        <v>312.67921212138998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17.681197160228635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17.681197160228635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318.97291652986593</v>
      </c>
      <c r="T66" s="59">
        <f t="shared" si="34"/>
        <v>338.19413170988122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4.5474735088646412E-13</v>
      </c>
      <c r="AJ66" s="13">
        <f>AI66*VLOOKUP('Données projet'!$B$10,Paramètres!$A$1:$I$89,3,0)*VLOOKUP('Données projet'!$B$10,Paramètres!$A$1:$I$89,5,0)</f>
        <v>2.7193891583010558E-13</v>
      </c>
      <c r="AK66" s="13">
        <f t="shared" si="35"/>
        <v>3.6362267729089988E-12</v>
      </c>
      <c r="AL66" s="20">
        <f t="shared" si="4"/>
        <v>6.8067219078872727E-12</v>
      </c>
      <c r="AM66" s="59">
        <f t="shared" si="5"/>
        <v>293.33333333334014</v>
      </c>
      <c r="AN66" s="59">
        <f ca="1">AVERAGE(OFFSET($AM$3,0,0,'Données projet'!$E$10+1,1))-AVERAGE(OFFSET($H$3,0,0,'Données projet'!$E$10+1,1))</f>
        <v>318.97291652986593</v>
      </c>
      <c r="AO66" s="59">
        <f t="shared" si="36"/>
        <v>338.19413170988122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15.27202289223535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4.3547838977495644E-4</v>
      </c>
      <c r="AX66" s="21">
        <f t="shared" si="6"/>
        <v>15.272458370625126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2.2737367544323206E-13</v>
      </c>
      <c r="BE66" s="13">
        <f>BD66*VLOOKUP('Données projet'!$B$11,Paramètres!$A$1:$I$89,3,0)*VLOOKUP('Données projet'!$B$11,Paramètres!$A$1:$I$89,5,0)</f>
        <v>2.0572770154103635E-13</v>
      </c>
      <c r="BF66" s="13">
        <f t="shared" si="37"/>
        <v>2.8416956338469711E-12</v>
      </c>
      <c r="BG66" s="20">
        <f t="shared" si="7"/>
        <v>5.3075956424674458E-12</v>
      </c>
      <c r="BH66" s="59">
        <f t="shared" si="8"/>
        <v>293.3333333333386</v>
      </c>
      <c r="BI66" s="59">
        <f ca="1">AVERAGE(OFFSET($BH$3,0,0,'Données projet'!$E$11+1,1))-AVERAGE(OFFSET($H$3,0,0,'Données projet'!$E$11+1,1))</f>
        <v>436.23918637269577</v>
      </c>
      <c r="BJ66" s="59">
        <f t="shared" si="38"/>
        <v>611.43967996341894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7.8040244421177603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7.8040244421177603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292.5</v>
      </c>
      <c r="BZ66" s="13">
        <f>BY66*VLOOKUP('Données projet'!$B$12,Paramètres!$A$1:$I$89,3,0)*VLOOKUP('Données projet'!$B$12,Paramètres!$A$1:$I$89,5,0)</f>
        <v>246.40200000000004</v>
      </c>
      <c r="CA66" s="13">
        <f t="shared" si="39"/>
        <v>59.814834475385524</v>
      </c>
      <c r="CB66" s="20">
        <f t="shared" si="10"/>
        <v>533.3276533779632</v>
      </c>
      <c r="CC66" s="59">
        <f t="shared" si="11"/>
        <v>826.66098671129657</v>
      </c>
      <c r="CD66" s="59">
        <f ca="1">AVERAGE(OFFSET($CC$3,0,0,'Données projet'!$E$12+1,1))-AVERAGE(OFFSET($H$3,0,0,'Données projet'!$E$12+1,1))</f>
        <v>507.79096804746297</v>
      </c>
      <c r="CE66" s="59">
        <f t="shared" si="40"/>
        <v>312.67921212138998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17.334479668381942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17.334479668381942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318.97291652986593</v>
      </c>
      <c r="T67" s="59">
        <f t="shared" si="34"/>
        <v>338.19413170988122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4.5474735088646412E-13</v>
      </c>
      <c r="AJ67" s="13">
        <f>AI67*VLOOKUP('Données projet'!$B$10,Paramètres!$A$1:$I$89,3,0)*VLOOKUP('Données projet'!$B$10,Paramètres!$A$1:$I$89,5,0)</f>
        <v>2.7193891583010558E-13</v>
      </c>
      <c r="AK67" s="13">
        <f t="shared" si="35"/>
        <v>3.6362267729089988E-12</v>
      </c>
      <c r="AL67" s="20">
        <f t="shared" si="4"/>
        <v>6.8067219078872727E-12</v>
      </c>
      <c r="AM67" s="59">
        <f t="shared" si="5"/>
        <v>293.33333333334014</v>
      </c>
      <c r="AN67" s="59">
        <f ca="1">AVERAGE(OFFSET($AM$3,0,0,'Données projet'!$E$10+1,1))-AVERAGE(OFFSET($H$3,0,0,'Données projet'!$E$10+1,1))</f>
        <v>318.97291652986593</v>
      </c>
      <c r="AO67" s="59">
        <f t="shared" si="36"/>
        <v>338.19413170988122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14.972547838332797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3.0792972247007018E-4</v>
      </c>
      <c r="AX67" s="21">
        <f t="shared" si="6"/>
        <v>14.972855768055268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2.2737367544323206E-13</v>
      </c>
      <c r="BE67" s="13">
        <f>BD67*VLOOKUP('Données projet'!$B$11,Paramètres!$A$1:$I$89,3,0)*VLOOKUP('Données projet'!$B$11,Paramètres!$A$1:$I$89,5,0)</f>
        <v>2.0572770154103635E-13</v>
      </c>
      <c r="BF67" s="13">
        <f t="shared" si="37"/>
        <v>2.8416956338469711E-12</v>
      </c>
      <c r="BG67" s="20">
        <f t="shared" si="7"/>
        <v>5.3075956424674458E-12</v>
      </c>
      <c r="BH67" s="59">
        <f t="shared" si="8"/>
        <v>293.3333333333386</v>
      </c>
      <c r="BI67" s="59">
        <f ca="1">AVERAGE(OFFSET($BH$3,0,0,'Données projet'!$E$11+1,1))-AVERAGE(OFFSET($H$3,0,0,'Données projet'!$E$11+1,1))</f>
        <v>436.23918637269577</v>
      </c>
      <c r="BJ67" s="59">
        <f t="shared" si="38"/>
        <v>611.43967996341894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7.650992282792731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7.650992282792731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301</v>
      </c>
      <c r="BZ67" s="13">
        <f>BY67*VLOOKUP('Données projet'!$B$12,Paramètres!$A$1:$I$89,3,0)*VLOOKUP('Données projet'!$B$12,Paramètres!$A$1:$I$89,5,0)</f>
        <v>253.56240000000005</v>
      </c>
      <c r="CA67" s="13">
        <f t="shared" si="39"/>
        <v>61.348145886656177</v>
      </c>
      <c r="CB67" s="20">
        <f t="shared" si="10"/>
        <v>548.46920075259288</v>
      </c>
      <c r="CC67" s="59">
        <f t="shared" si="11"/>
        <v>841.80253408592625</v>
      </c>
      <c r="CD67" s="59">
        <f ca="1">AVERAGE(OFFSET($CC$3,0,0,'Données projet'!$E$12+1,1))-AVERAGE(OFFSET($H$3,0,0,'Données projet'!$E$12+1,1))</f>
        <v>507.79096804746297</v>
      </c>
      <c r="CE67" s="59">
        <f t="shared" si="40"/>
        <v>312.67921212138998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16.994561095073575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16.994561095073575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318.97291652986593</v>
      </c>
      <c r="T68" s="59">
        <f t="shared" si="34"/>
        <v>338.19413170988122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4.5474735088646412E-13</v>
      </c>
      <c r="AJ68" s="13">
        <f>AI68*VLOOKUP('Données projet'!$B$10,Paramètres!$A$1:$I$89,3,0)*VLOOKUP('Données projet'!$B$10,Paramètres!$A$1:$I$89,5,0)</f>
        <v>2.7193891583010558E-13</v>
      </c>
      <c r="AK68" s="13">
        <f t="shared" si="35"/>
        <v>3.6362267729089988E-12</v>
      </c>
      <c r="AL68" s="20">
        <f t="shared" ref="AL68:AL131" si="58">(AJ68+AK68)*0.475*44/12</f>
        <v>6.8067219078872727E-12</v>
      </c>
      <c r="AM68" s="59">
        <f t="shared" ref="AM68:AM131" si="59">AL68+(AD68+AE68)*44/12</f>
        <v>293.33333333334014</v>
      </c>
      <c r="AN68" s="59">
        <f ca="1">AVERAGE(OFFSET($AM$3,0,0,'Données projet'!$E$10+1,1))-AVERAGE(OFFSET($H$3,0,0,'Données projet'!$E$10+1,1))</f>
        <v>318.97291652986593</v>
      </c>
      <c r="AO68" s="59">
        <f t="shared" si="36"/>
        <v>338.19413170988122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14.678945307575528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2.1773919488747822E-4</v>
      </c>
      <c r="AX68" s="21">
        <f t="shared" ref="AX68:AX131" si="60">SUM(AU68:AW68)</f>
        <v>14.679163046770416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2.2737367544323206E-13</v>
      </c>
      <c r="BE68" s="13">
        <f>BD68*VLOOKUP('Données projet'!$B$11,Paramètres!$A$1:$I$89,3,0)*VLOOKUP('Données projet'!$B$11,Paramètres!$A$1:$I$89,5,0)</f>
        <v>2.0572770154103635E-13</v>
      </c>
      <c r="BF68" s="13">
        <f t="shared" si="37"/>
        <v>2.8416956338469711E-12</v>
      </c>
      <c r="BG68" s="20">
        <f t="shared" ref="BG68:BG131" si="61">(BE68+BF68)*0.475*44/12</f>
        <v>5.3075956424674458E-12</v>
      </c>
      <c r="BH68" s="59">
        <f t="shared" ref="BH68:BH131" si="62">BG68+(AY68+AZ68)*44/12</f>
        <v>293.3333333333386</v>
      </c>
      <c r="BI68" s="59">
        <f ca="1">AVERAGE(OFFSET($BH$3,0,0,'Données projet'!$E$11+1,1))-AVERAGE(OFFSET($H$3,0,0,'Données projet'!$E$11+1,1))</f>
        <v>436.23918637269577</v>
      </c>
      <c r="BJ68" s="59">
        <f t="shared" si="38"/>
        <v>611.43967996341894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7.5009609907716648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7.5009609907716648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309.5</v>
      </c>
      <c r="BZ68" s="13">
        <f>BY68*VLOOKUP('Données projet'!$B$12,Paramètres!$A$1:$I$89,3,0)*VLOOKUP('Données projet'!$B$12,Paramètres!$A$1:$I$89,5,0)</f>
        <v>260.72280000000006</v>
      </c>
      <c r="CA68" s="13">
        <f t="shared" si="39"/>
        <v>62.87642480471132</v>
      </c>
      <c r="CB68" s="20">
        <f t="shared" ref="CB68:CB131" si="64">(BZ68+CA68)*0.475*44/12</f>
        <v>563.60198320153904</v>
      </c>
      <c r="CC68" s="59">
        <f t="shared" ref="CC68:CC131" si="65">CB68+(BT68+BU68)*44/12</f>
        <v>856.9353165348723</v>
      </c>
      <c r="CD68" s="59">
        <f ca="1">AVERAGE(OFFSET($CC$3,0,0,'Données projet'!$E$12+1,1))-AVERAGE(OFFSET($H$3,0,0,'Données projet'!$E$12+1,1))</f>
        <v>507.79096804746297</v>
      </c>
      <c r="CE68" s="59">
        <f t="shared" si="40"/>
        <v>312.67921212138998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16.661308117657928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16.661308117657928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318.97291652986593</v>
      </c>
      <c r="T69" s="59">
        <f t="shared" ref="T69:T132" si="88">$T$3</f>
        <v>338.19413170988122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4.5474735088646412E-13</v>
      </c>
      <c r="AJ69" s="13">
        <f>AI69*VLOOKUP('Données projet'!$B$10,Paramètres!$A$1:$I$89,3,0)*VLOOKUP('Données projet'!$B$10,Paramètres!$A$1:$I$89,5,0)</f>
        <v>2.7193891583010558E-13</v>
      </c>
      <c r="AK69" s="13">
        <f t="shared" ref="AK69:AK132" si="89">EXP(-1.0587+0.8836*LN(AJ69)+0.284)</f>
        <v>3.6362267729089988E-12</v>
      </c>
      <c r="AL69" s="20">
        <f t="shared" si="58"/>
        <v>6.8067219078872727E-12</v>
      </c>
      <c r="AM69" s="59">
        <f t="shared" si="59"/>
        <v>293.33333333334014</v>
      </c>
      <c r="AN69" s="59">
        <f ca="1">AVERAGE(OFFSET($AM$3,0,0,'Données projet'!$E$10+1,1))-AVERAGE(OFFSET($H$3,0,0,'Données projet'!$E$10+1,1))</f>
        <v>318.97291652986593</v>
      </c>
      <c r="AO69" s="59">
        <f t="shared" ref="AO69:AO132" si="90">$AO$3</f>
        <v>338.19413170988122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14.391100143366547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1.5396486123503509E-4</v>
      </c>
      <c r="AX69" s="21">
        <f t="shared" si="60"/>
        <v>14.391254108227782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2.2737367544323206E-13</v>
      </c>
      <c r="BE69" s="13">
        <f>BD69*VLOOKUP('Données projet'!$B$11,Paramètres!$A$1:$I$89,3,0)*VLOOKUP('Données projet'!$B$11,Paramètres!$A$1:$I$89,5,0)</f>
        <v>2.0572770154103635E-13</v>
      </c>
      <c r="BF69" s="13">
        <f t="shared" ref="BF69:BF132" si="91">EXP(-1.0587+0.8836*LN(BE69)+0.284)</f>
        <v>2.8416956338469711E-12</v>
      </c>
      <c r="BG69" s="20">
        <f t="shared" si="61"/>
        <v>5.3075956424674458E-12</v>
      </c>
      <c r="BH69" s="59">
        <f t="shared" si="62"/>
        <v>293.3333333333386</v>
      </c>
      <c r="BI69" s="59">
        <f ca="1">AVERAGE(OFFSET($BH$3,0,0,'Données projet'!$E$11+1,1))-AVERAGE(OFFSET($H$3,0,0,'Données projet'!$E$11+1,1))</f>
        <v>436.23918637269577</v>
      </c>
      <c r="BJ69" s="59">
        <f t="shared" ref="BJ69:BJ132" si="92">$BJ$3</f>
        <v>611.43967996341894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7.3538717208770796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7.3538717208770796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318</v>
      </c>
      <c r="BZ69" s="13">
        <f>BY69*VLOOKUP('Données projet'!$B$12,Paramètres!$A$1:$I$89,3,0)*VLOOKUP('Données projet'!$B$12,Paramètres!$A$1:$I$89,5,0)</f>
        <v>267.88319999999999</v>
      </c>
      <c r="CA69" s="13">
        <f t="shared" ref="CA69:CA132" si="93">EXP(-1.0587+0.8836*LN(BZ69)+0.284)</f>
        <v>64.399825320774383</v>
      </c>
      <c r="CB69" s="20">
        <f t="shared" si="64"/>
        <v>578.72626910034865</v>
      </c>
      <c r="CC69" s="59">
        <f t="shared" si="65"/>
        <v>872.0596024336819</v>
      </c>
      <c r="CD69" s="59">
        <f ca="1">AVERAGE(OFFSET($CC$3,0,0,'Données projet'!$E$12+1,1))-AVERAGE(OFFSET($H$3,0,0,'Données projet'!$E$12+1,1))</f>
        <v>507.79096804746297</v>
      </c>
      <c r="CE69" s="59">
        <f t="shared" ref="CE69:CE132" si="94">$CE$3</f>
        <v>312.67921212138998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16.334590027865154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16.334590027865154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318.97291652986593</v>
      </c>
      <c r="T70" s="59">
        <f t="shared" si="88"/>
        <v>338.19413170988122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4.5474735088646412E-13</v>
      </c>
      <c r="AJ70" s="13">
        <f>AI70*VLOOKUP('Données projet'!$B$10,Paramètres!$A$1:$I$89,3,0)*VLOOKUP('Données projet'!$B$10,Paramètres!$A$1:$I$89,5,0)</f>
        <v>2.7193891583010558E-13</v>
      </c>
      <c r="AK70" s="13">
        <f t="shared" si="89"/>
        <v>3.6362267729089988E-12</v>
      </c>
      <c r="AL70" s="20">
        <f t="shared" si="58"/>
        <v>6.8067219078872727E-12</v>
      </c>
      <c r="AM70" s="59">
        <f t="shared" si="59"/>
        <v>293.33333333334014</v>
      </c>
      <c r="AN70" s="59">
        <f ca="1">AVERAGE(OFFSET($AM$3,0,0,'Données projet'!$E$10+1,1))-AVERAGE(OFFSET($H$3,0,0,'Données projet'!$E$10+1,1))</f>
        <v>318.97291652986593</v>
      </c>
      <c r="AO70" s="59">
        <f t="shared" si="90"/>
        <v>338.19413170988122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14.108899447259491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1.0886959744373911E-4</v>
      </c>
      <c r="AX70" s="21">
        <f t="shared" si="60"/>
        <v>14.109008316856935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2.2737367544323206E-13</v>
      </c>
      <c r="BE70" s="13">
        <f>BD70*VLOOKUP('Données projet'!$B$11,Paramètres!$A$1:$I$89,3,0)*VLOOKUP('Données projet'!$B$11,Paramètres!$A$1:$I$89,5,0)</f>
        <v>2.0572770154103635E-13</v>
      </c>
      <c r="BF70" s="13">
        <f t="shared" si="91"/>
        <v>2.8416956338469711E-12</v>
      </c>
      <c r="BG70" s="20">
        <f t="shared" si="61"/>
        <v>5.3075956424674458E-12</v>
      </c>
      <c r="BH70" s="59">
        <f t="shared" si="62"/>
        <v>293.3333333333386</v>
      </c>
      <c r="BI70" s="59">
        <f ca="1">AVERAGE(OFFSET($BH$3,0,0,'Données projet'!$E$11+1,1))-AVERAGE(OFFSET($H$3,0,0,'Données projet'!$E$11+1,1))</f>
        <v>436.23918637269577</v>
      </c>
      <c r="BJ70" s="59">
        <f t="shared" si="92"/>
        <v>611.43967996341894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7.2096667818495312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7.2096667818495312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326.5</v>
      </c>
      <c r="BZ70" s="13">
        <f>BY70*VLOOKUP('Données projet'!$B$12,Paramètres!$A$1:$I$89,3,0)*VLOOKUP('Données projet'!$B$12,Paramètres!$A$1:$I$89,5,0)</f>
        <v>275.04360000000003</v>
      </c>
      <c r="CA70" s="13">
        <f t="shared" si="93"/>
        <v>65.918492819476043</v>
      </c>
      <c r="CB70" s="20">
        <f t="shared" si="64"/>
        <v>593.84231166058748</v>
      </c>
      <c r="CC70" s="59">
        <f t="shared" si="65"/>
        <v>887.17564499392074</v>
      </c>
      <c r="CD70" s="59">
        <f ca="1">AVERAGE(OFFSET($CC$3,0,0,'Données projet'!$E$12+1,1))-AVERAGE(OFFSET($H$3,0,0,'Données projet'!$E$12+1,1))</f>
        <v>507.79096804746297</v>
      </c>
      <c r="CE70" s="59">
        <f t="shared" si="94"/>
        <v>312.67921212138998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16.014278680534858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16.014278680534858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318.97291652986593</v>
      </c>
      <c r="T71" s="59">
        <f t="shared" si="88"/>
        <v>338.19413170988122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4.5474735088646412E-13</v>
      </c>
      <c r="AJ71" s="13">
        <f>AI71*VLOOKUP('Données projet'!$B$10,Paramètres!$A$1:$I$89,3,0)*VLOOKUP('Données projet'!$B$10,Paramètres!$A$1:$I$89,5,0)</f>
        <v>2.7193891583010558E-13</v>
      </c>
      <c r="AK71" s="13">
        <f t="shared" si="89"/>
        <v>3.6362267729089988E-12</v>
      </c>
      <c r="AL71" s="20">
        <f t="shared" si="58"/>
        <v>6.8067219078872727E-12</v>
      </c>
      <c r="AM71" s="59">
        <f t="shared" si="59"/>
        <v>293.33333333334014</v>
      </c>
      <c r="AN71" s="59">
        <f ca="1">AVERAGE(OFFSET($AM$3,0,0,'Données projet'!$E$10+1,1))-AVERAGE(OFFSET($H$3,0,0,'Données projet'!$E$10+1,1))</f>
        <v>318.97291652986593</v>
      </c>
      <c r="AO71" s="59">
        <f t="shared" si="90"/>
        <v>338.19413170988122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13.832232534677665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7.6982430617517544E-5</v>
      </c>
      <c r="AX71" s="21">
        <f t="shared" si="60"/>
        <v>13.832309517108282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2.2737367544323206E-13</v>
      </c>
      <c r="BE71" s="13">
        <f>BD71*VLOOKUP('Données projet'!$B$11,Paramètres!$A$1:$I$89,3,0)*VLOOKUP('Données projet'!$B$11,Paramètres!$A$1:$I$89,5,0)</f>
        <v>2.0572770154103635E-13</v>
      </c>
      <c r="BF71" s="13">
        <f t="shared" si="91"/>
        <v>2.8416956338469711E-12</v>
      </c>
      <c r="BG71" s="20">
        <f t="shared" si="61"/>
        <v>5.3075956424674458E-12</v>
      </c>
      <c r="BH71" s="59">
        <f t="shared" si="62"/>
        <v>293.3333333333386</v>
      </c>
      <c r="BI71" s="59">
        <f ca="1">AVERAGE(OFFSET($BH$3,0,0,'Données projet'!$E$11+1,1))-AVERAGE(OFFSET($H$3,0,0,'Données projet'!$E$11+1,1))</f>
        <v>436.23918637269577</v>
      </c>
      <c r="BJ71" s="59">
        <f t="shared" si="92"/>
        <v>611.43967996341894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7.0682896137199851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7.0682896137199851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335</v>
      </c>
      <c r="BZ71" s="13">
        <f>BY71*VLOOKUP('Données projet'!$B$12,Paramètres!$A$1:$I$89,3,0)*VLOOKUP('Données projet'!$B$12,Paramètres!$A$1:$I$89,5,0)</f>
        <v>282.20400000000001</v>
      </c>
      <c r="CA71" s="13">
        <f t="shared" si="93"/>
        <v>67.432564684485186</v>
      </c>
      <c r="CB71" s="20">
        <f t="shared" si="64"/>
        <v>608.9503501588116</v>
      </c>
      <c r="CC71" s="59">
        <f t="shared" si="65"/>
        <v>902.28368349214497</v>
      </c>
      <c r="CD71" s="59">
        <f ca="1">AVERAGE(OFFSET($CC$3,0,0,'Données projet'!$E$12+1,1))-AVERAGE(OFFSET($H$3,0,0,'Données projet'!$E$12+1,1))</f>
        <v>507.79096804746297</v>
      </c>
      <c r="CE71" s="59">
        <f t="shared" si="94"/>
        <v>312.67921212138998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15.700248443355079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15.700248443355079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318.97291652986593</v>
      </c>
      <c r="T72" s="59">
        <f t="shared" si="88"/>
        <v>338.19413170988122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4.5474735088646412E-13</v>
      </c>
      <c r="AJ72" s="13">
        <f>AI72*VLOOKUP('Données projet'!$B$10,Paramètres!$A$1:$I$89,3,0)*VLOOKUP('Données projet'!$B$10,Paramètres!$A$1:$I$89,5,0)</f>
        <v>2.7193891583010558E-13</v>
      </c>
      <c r="AK72" s="13">
        <f t="shared" si="89"/>
        <v>3.6362267729089988E-12</v>
      </c>
      <c r="AL72" s="20">
        <f t="shared" si="58"/>
        <v>6.8067219078872727E-12</v>
      </c>
      <c r="AM72" s="59">
        <f t="shared" si="59"/>
        <v>293.33333333334014</v>
      </c>
      <c r="AN72" s="59">
        <f ca="1">AVERAGE(OFFSET($AM$3,0,0,'Données projet'!$E$10+1,1))-AVERAGE(OFFSET($H$3,0,0,'Données projet'!$E$10+1,1))</f>
        <v>318.97291652986593</v>
      </c>
      <c r="AO72" s="59">
        <f t="shared" si="90"/>
        <v>338.19413170988122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13.560990891501415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5.4434798721869556E-5</v>
      </c>
      <c r="AX72" s="21">
        <f t="shared" si="60"/>
        <v>13.561045326300137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2.2737367544323206E-13</v>
      </c>
      <c r="BE72" s="13">
        <f>BD72*VLOOKUP('Données projet'!$B$11,Paramètres!$A$1:$I$89,3,0)*VLOOKUP('Données projet'!$B$11,Paramètres!$A$1:$I$89,5,0)</f>
        <v>2.0572770154103635E-13</v>
      </c>
      <c r="BF72" s="13">
        <f t="shared" si="91"/>
        <v>2.8416956338469711E-12</v>
      </c>
      <c r="BG72" s="20">
        <f t="shared" si="61"/>
        <v>5.3075956424674458E-12</v>
      </c>
      <c r="BH72" s="59">
        <f t="shared" si="62"/>
        <v>293.3333333333386</v>
      </c>
      <c r="BI72" s="59">
        <f ca="1">AVERAGE(OFFSET($BH$3,0,0,'Données projet'!$E$11+1,1))-AVERAGE(OFFSET($H$3,0,0,'Données projet'!$E$11+1,1))</f>
        <v>436.23918637269577</v>
      </c>
      <c r="BJ72" s="59">
        <f t="shared" si="92"/>
        <v>611.43967996341894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6.9296847656259022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6.9296847656259022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343.5</v>
      </c>
      <c r="BZ72" s="13">
        <f>BY72*VLOOKUP('Données projet'!$B$12,Paramètres!$A$1:$I$89,3,0)*VLOOKUP('Données projet'!$B$12,Paramètres!$A$1:$I$89,5,0)</f>
        <v>289.36440000000005</v>
      </c>
      <c r="CA72" s="13">
        <f t="shared" si="93"/>
        <v>68.942170930507629</v>
      </c>
      <c r="CB72" s="20">
        <f t="shared" si="64"/>
        <v>624.05061103730088</v>
      </c>
      <c r="CC72" s="59">
        <f t="shared" si="65"/>
        <v>917.38394437063425</v>
      </c>
      <c r="CD72" s="59">
        <f ca="1">AVERAGE(OFFSET($CC$3,0,0,'Données projet'!$E$12+1,1))-AVERAGE(OFFSET($H$3,0,0,'Données projet'!$E$12+1,1))</f>
        <v>507.79096804746297</v>
      </c>
      <c r="CE72" s="59">
        <f t="shared" si="94"/>
        <v>312.67921212138998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15.392376147586864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15.392376147586864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318.97291652986593</v>
      </c>
      <c r="T73" s="59">
        <f t="shared" si="88"/>
        <v>338.19413170988122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4.5474735088646412E-13</v>
      </c>
      <c r="AJ73" s="13">
        <f>AI73*VLOOKUP('Données projet'!$B$10,Paramètres!$A$1:$I$89,3,0)*VLOOKUP('Données projet'!$B$10,Paramètres!$A$1:$I$89,5,0)</f>
        <v>2.7193891583010558E-13</v>
      </c>
      <c r="AK73" s="13">
        <f t="shared" si="89"/>
        <v>3.6362267729089988E-12</v>
      </c>
      <c r="AL73" s="20">
        <f t="shared" si="58"/>
        <v>6.8067219078872727E-12</v>
      </c>
      <c r="AM73" s="59">
        <f t="shared" si="59"/>
        <v>293.33333333334014</v>
      </c>
      <c r="AN73" s="59">
        <f ca="1">AVERAGE(OFFSET($AM$3,0,0,'Données projet'!$E$10+1,1))-AVERAGE(OFFSET($H$3,0,0,'Données projet'!$E$10+1,1))</f>
        <v>318.97291652986593</v>
      </c>
      <c r="AO73" s="59">
        <f t="shared" si="90"/>
        <v>338.19413170988122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13.295068131506785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3.8491215308758772E-5</v>
      </c>
      <c r="AX73" s="21">
        <f t="shared" si="60"/>
        <v>13.295106622722093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2.2737367544323206E-13</v>
      </c>
      <c r="BE73" s="13">
        <f>BD73*VLOOKUP('Données projet'!$B$11,Paramètres!$A$1:$I$89,3,0)*VLOOKUP('Données projet'!$B$11,Paramètres!$A$1:$I$89,5,0)</f>
        <v>2.0572770154103635E-13</v>
      </c>
      <c r="BF73" s="13">
        <f t="shared" si="91"/>
        <v>2.8416956338469711E-12</v>
      </c>
      <c r="BG73" s="20">
        <f t="shared" si="61"/>
        <v>5.3075956424674458E-12</v>
      </c>
      <c r="BH73" s="59">
        <f t="shared" si="62"/>
        <v>293.3333333333386</v>
      </c>
      <c r="BI73" s="59">
        <f ca="1">AVERAGE(OFFSET($BH$3,0,0,'Données projet'!$E$11+1,1))-AVERAGE(OFFSET($H$3,0,0,'Données projet'!$E$11+1,1))</f>
        <v>436.23918637269577</v>
      </c>
      <c r="BJ73" s="59">
        <f t="shared" si="92"/>
        <v>611.43967996341894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6.7937978740623342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6.7937978740623342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352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352</v>
      </c>
      <c r="BZ73" s="13">
        <f>BY73*VLOOKUP('Données projet'!$B$12,Paramètres!$A$1:$I$89,3,0)*VLOOKUP('Données projet'!$B$12,Paramètres!$A$1:$I$89,5,0)</f>
        <v>296.52480000000003</v>
      </c>
      <c r="CA73" s="13">
        <f t="shared" si="93"/>
        <v>70.447434770968528</v>
      </c>
      <c r="CB73" s="20">
        <f t="shared" si="64"/>
        <v>639.14330889277016</v>
      </c>
      <c r="CC73" s="59">
        <f t="shared" si="65"/>
        <v>932.47664222610342</v>
      </c>
      <c r="CD73" s="59">
        <f ca="1">AVERAGE(OFFSET($CC$3,0,0,'Données projet'!$E$12+1,1))-AVERAGE(OFFSET($H$3,0,0,'Données projet'!$E$12+1,1))</f>
        <v>507.79096804746297</v>
      </c>
      <c r="CE73" s="59">
        <f t="shared" si="94"/>
        <v>312.67921212138998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37.514998844817967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37.514998844817967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318.97291652986593</v>
      </c>
      <c r="T74" s="59">
        <f t="shared" si="88"/>
        <v>338.19413170988122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4.5474735088646412E-13</v>
      </c>
      <c r="AJ74" s="13">
        <f>AI74*VLOOKUP('Données projet'!$B$10,Paramètres!$A$1:$I$89,3,0)*VLOOKUP('Données projet'!$B$10,Paramètres!$A$1:$I$89,5,0)</f>
        <v>2.7193891583010558E-13</v>
      </c>
      <c r="AK74" s="13">
        <f t="shared" si="89"/>
        <v>3.6362267729089988E-12</v>
      </c>
      <c r="AL74" s="20">
        <f t="shared" si="58"/>
        <v>6.8067219078872727E-12</v>
      </c>
      <c r="AM74" s="59">
        <f t="shared" si="59"/>
        <v>293.33333333334014</v>
      </c>
      <c r="AN74" s="59">
        <f ca="1">AVERAGE(OFFSET($AM$3,0,0,'Données projet'!$E$10+1,1))-AVERAGE(OFFSET($H$3,0,0,'Données projet'!$E$10+1,1))</f>
        <v>318.97291652986593</v>
      </c>
      <c r="AO74" s="59">
        <f t="shared" si="90"/>
        <v>338.19413170988122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13.034359954638781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2.7217399360934778E-5</v>
      </c>
      <c r="AX74" s="21">
        <f t="shared" si="60"/>
        <v>13.034387172038141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2.2737367544323206E-13</v>
      </c>
      <c r="BE74" s="13">
        <f>BD74*VLOOKUP('Données projet'!$B$11,Paramètres!$A$1:$I$89,3,0)*VLOOKUP('Données projet'!$B$11,Paramètres!$A$1:$I$89,5,0)</f>
        <v>2.0572770154103635E-13</v>
      </c>
      <c r="BF74" s="13">
        <f t="shared" si="91"/>
        <v>2.8416956338469711E-12</v>
      </c>
      <c r="BG74" s="20">
        <f t="shared" si="61"/>
        <v>5.3075956424674458E-12</v>
      </c>
      <c r="BH74" s="59">
        <f t="shared" si="62"/>
        <v>293.3333333333386</v>
      </c>
      <c r="BI74" s="59">
        <f ca="1">AVERAGE(OFFSET($BH$3,0,0,'Données projet'!$E$11+1,1))-AVERAGE(OFFSET($H$3,0,0,'Données projet'!$E$11+1,1))</f>
        <v>436.23918637269577</v>
      </c>
      <c r="BJ74" s="59">
        <f t="shared" si="92"/>
        <v>611.43967996341894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6.6605756415595083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6.6605756415595083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303.39999999999998</v>
      </c>
      <c r="BZ74" s="13">
        <f>BY74*VLOOKUP('Données projet'!$B$12,Paramètres!$A$1:$I$89,3,0)*VLOOKUP('Données projet'!$B$12,Paramètres!$A$1:$I$89,5,0)</f>
        <v>255.58416</v>
      </c>
      <c r="CA74" s="13">
        <f t="shared" si="93"/>
        <v>61.780162957746263</v>
      </c>
      <c r="CB74" s="20">
        <f t="shared" si="64"/>
        <v>552.74286248474129</v>
      </c>
      <c r="CC74" s="59">
        <f t="shared" si="65"/>
        <v>846.07619581807467</v>
      </c>
      <c r="CD74" s="59">
        <f ca="1">AVERAGE(OFFSET($CC$3,0,0,'Données projet'!$E$12+1,1))-AVERAGE(OFFSET($H$3,0,0,'Données projet'!$E$12+1,1))</f>
        <v>507.79096804746297</v>
      </c>
      <c r="CE74" s="59">
        <f t="shared" si="94"/>
        <v>312.67921212138998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36.779352599360983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36.779352599360983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318.97291652986593</v>
      </c>
      <c r="T75" s="59">
        <f t="shared" si="88"/>
        <v>338.19413170988122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4.5474735088646412E-13</v>
      </c>
      <c r="AJ75" s="13">
        <f>AI75*VLOOKUP('Données projet'!$B$10,Paramètres!$A$1:$I$89,3,0)*VLOOKUP('Données projet'!$B$10,Paramètres!$A$1:$I$89,5,0)</f>
        <v>2.7193891583010558E-13</v>
      </c>
      <c r="AK75" s="13">
        <f t="shared" si="89"/>
        <v>3.6362267729089988E-12</v>
      </c>
      <c r="AL75" s="20">
        <f t="shared" si="58"/>
        <v>6.8067219078872727E-12</v>
      </c>
      <c r="AM75" s="59">
        <f t="shared" si="59"/>
        <v>293.33333333334014</v>
      </c>
      <c r="AN75" s="59">
        <f ca="1">AVERAGE(OFFSET($AM$3,0,0,'Données projet'!$E$10+1,1))-AVERAGE(OFFSET($H$3,0,0,'Données projet'!$E$10+1,1))</f>
        <v>318.97291652986593</v>
      </c>
      <c r="AO75" s="59">
        <f t="shared" si="90"/>
        <v>338.19413170988122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12.778764106102871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1.9245607654379386E-5</v>
      </c>
      <c r="AX75" s="21">
        <f t="shared" si="60"/>
        <v>12.778783351710526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2.2737367544323206E-13</v>
      </c>
      <c r="BE75" s="13">
        <f>BD75*VLOOKUP('Données projet'!$B$11,Paramètres!$A$1:$I$89,3,0)*VLOOKUP('Données projet'!$B$11,Paramètres!$A$1:$I$89,5,0)</f>
        <v>2.0572770154103635E-13</v>
      </c>
      <c r="BF75" s="13">
        <f t="shared" si="91"/>
        <v>2.8416956338469711E-12</v>
      </c>
      <c r="BG75" s="20">
        <f t="shared" si="61"/>
        <v>5.3075956424674458E-12</v>
      </c>
      <c r="BH75" s="59">
        <f t="shared" si="62"/>
        <v>293.3333333333386</v>
      </c>
      <c r="BI75" s="59">
        <f ca="1">AVERAGE(OFFSET($BH$3,0,0,'Données projet'!$E$11+1,1))-AVERAGE(OFFSET($H$3,0,0,'Données projet'!$E$11+1,1))</f>
        <v>436.23918637269577</v>
      </c>
      <c r="BJ75" s="59">
        <f t="shared" si="92"/>
        <v>611.43967996341894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6.5299658157785245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6.5299658157785245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310.79999999999995</v>
      </c>
      <c r="BZ75" s="13">
        <f>BY75*VLOOKUP('Données projet'!$B$12,Paramètres!$A$1:$I$89,3,0)*VLOOKUP('Données projet'!$B$12,Paramètres!$A$1:$I$89,5,0)</f>
        <v>261.81792000000002</v>
      </c>
      <c r="CA75" s="13">
        <f t="shared" si="93"/>
        <v>63.109727755181751</v>
      </c>
      <c r="CB75" s="20">
        <f t="shared" si="64"/>
        <v>565.91565317360812</v>
      </c>
      <c r="CC75" s="59">
        <f t="shared" si="65"/>
        <v>859.24898650694149</v>
      </c>
      <c r="CD75" s="59">
        <f ca="1">AVERAGE(OFFSET($CC$3,0,0,'Données projet'!$E$12+1,1))-AVERAGE(OFFSET($H$3,0,0,'Données projet'!$E$12+1,1))</f>
        <v>507.79096804746297</v>
      </c>
      <c r="CE75" s="59">
        <f t="shared" si="94"/>
        <v>312.67921212138998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36.058131928077508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36.058131928077508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318.97291652986593</v>
      </c>
      <c r="T76" s="59">
        <f t="shared" si="88"/>
        <v>338.19413170988122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4.5474735088646412E-13</v>
      </c>
      <c r="AJ76" s="13">
        <f>AI76*VLOOKUP('Données projet'!$B$10,Paramètres!$A$1:$I$89,3,0)*VLOOKUP('Données projet'!$B$10,Paramètres!$A$1:$I$89,5,0)</f>
        <v>2.7193891583010558E-13</v>
      </c>
      <c r="AK76" s="13">
        <f t="shared" si="89"/>
        <v>3.6362267729089988E-12</v>
      </c>
      <c r="AL76" s="20">
        <f t="shared" si="58"/>
        <v>6.8067219078872727E-12</v>
      </c>
      <c r="AM76" s="59">
        <f t="shared" si="59"/>
        <v>293.33333333334014</v>
      </c>
      <c r="AN76" s="59">
        <f ca="1">AVERAGE(OFFSET($AM$3,0,0,'Données projet'!$E$10+1,1))-AVERAGE(OFFSET($H$3,0,0,'Données projet'!$E$10+1,1))</f>
        <v>318.97291652986593</v>
      </c>
      <c r="AO76" s="59">
        <f t="shared" si="90"/>
        <v>338.19413170988122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12.528180336258679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1.3608699680467389E-5</v>
      </c>
      <c r="AX76" s="21">
        <f t="shared" si="60"/>
        <v>12.528193944958359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2.2737367544323206E-13</v>
      </c>
      <c r="BE76" s="13">
        <f>BD76*VLOOKUP('Données projet'!$B$11,Paramètres!$A$1:$I$89,3,0)*VLOOKUP('Données projet'!$B$11,Paramètres!$A$1:$I$89,5,0)</f>
        <v>2.0572770154103635E-13</v>
      </c>
      <c r="BF76" s="13">
        <f t="shared" si="91"/>
        <v>2.8416956338469711E-12</v>
      </c>
      <c r="BG76" s="20">
        <f t="shared" si="61"/>
        <v>5.3075956424674458E-12</v>
      </c>
      <c r="BH76" s="59">
        <f t="shared" si="62"/>
        <v>293.3333333333386</v>
      </c>
      <c r="BI76" s="59">
        <f ca="1">AVERAGE(OFFSET($BH$3,0,0,'Données projet'!$E$11+1,1))-AVERAGE(OFFSET($H$3,0,0,'Données projet'!$E$11+1,1))</f>
        <v>436.23918637269577</v>
      </c>
      <c r="BJ76" s="59">
        <f t="shared" si="92"/>
        <v>611.43967996341894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6.4019171690169783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6.4019171690169783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318.19999999999993</v>
      </c>
      <c r="BZ76" s="13">
        <f>BY76*VLOOKUP('Données projet'!$B$12,Paramètres!$A$1:$I$89,3,0)*VLOOKUP('Données projet'!$B$12,Paramètres!$A$1:$I$89,5,0)</f>
        <v>268.05167999999998</v>
      </c>
      <c r="CA76" s="13">
        <f t="shared" si="93"/>
        <v>64.435612492630426</v>
      </c>
      <c r="CB76" s="20">
        <f t="shared" si="64"/>
        <v>579.08203442466458</v>
      </c>
      <c r="CC76" s="59">
        <f t="shared" si="65"/>
        <v>872.41536775799796</v>
      </c>
      <c r="CD76" s="59">
        <f ca="1">AVERAGE(OFFSET($CC$3,0,0,'Données projet'!$E$12+1,1))-AVERAGE(OFFSET($H$3,0,0,'Données projet'!$E$12+1,1))</f>
        <v>507.79096804746297</v>
      </c>
      <c r="CE76" s="59">
        <f t="shared" si="94"/>
        <v>312.67921212138998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35.351053954256727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35.351053954256727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318.97291652986593</v>
      </c>
      <c r="T77" s="59">
        <f t="shared" si="88"/>
        <v>338.19413170988122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4.5474735088646412E-13</v>
      </c>
      <c r="AJ77" s="13">
        <f>AI77*VLOOKUP('Données projet'!$B$10,Paramètres!$A$1:$I$89,3,0)*VLOOKUP('Données projet'!$B$10,Paramètres!$A$1:$I$89,5,0)</f>
        <v>2.7193891583010558E-13</v>
      </c>
      <c r="AK77" s="13">
        <f t="shared" si="89"/>
        <v>3.6362267729089988E-12</v>
      </c>
      <c r="AL77" s="20">
        <f t="shared" si="58"/>
        <v>6.8067219078872727E-12</v>
      </c>
      <c r="AM77" s="59">
        <f t="shared" si="59"/>
        <v>293.33333333334014</v>
      </c>
      <c r="AN77" s="59">
        <f ca="1">AVERAGE(OFFSET($AM$3,0,0,'Données projet'!$E$10+1,1))-AVERAGE(OFFSET($H$3,0,0,'Données projet'!$E$10+1,1))</f>
        <v>318.97291652986593</v>
      </c>
      <c r="AO77" s="59">
        <f t="shared" si="90"/>
        <v>338.19413170988122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12.282510361300123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9.622803827189693E-6</v>
      </c>
      <c r="AX77" s="21">
        <f t="shared" si="60"/>
        <v>12.282519984103949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2.2737367544323206E-13</v>
      </c>
      <c r="BE77" s="13">
        <f>BD77*VLOOKUP('Données projet'!$B$11,Paramètres!$A$1:$I$89,3,0)*VLOOKUP('Données projet'!$B$11,Paramètres!$A$1:$I$89,5,0)</f>
        <v>2.0572770154103635E-13</v>
      </c>
      <c r="BF77" s="13">
        <f t="shared" si="91"/>
        <v>2.8416956338469711E-12</v>
      </c>
      <c r="BG77" s="20">
        <f t="shared" si="61"/>
        <v>5.3075956424674458E-12</v>
      </c>
      <c r="BH77" s="59">
        <f t="shared" si="62"/>
        <v>293.3333333333386</v>
      </c>
      <c r="BI77" s="59">
        <f ca="1">AVERAGE(OFFSET($BH$3,0,0,'Données projet'!$E$11+1,1))-AVERAGE(OFFSET($H$3,0,0,'Données projet'!$E$11+1,1))</f>
        <v>436.23918637269577</v>
      </c>
      <c r="BJ77" s="59">
        <f t="shared" si="92"/>
        <v>611.43967996341894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6.2763794781164632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6.2763794781164632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325.59999999999991</v>
      </c>
      <c r="BZ77" s="13">
        <f>BY77*VLOOKUP('Données projet'!$B$12,Paramètres!$A$1:$I$89,3,0)*VLOOKUP('Données projet'!$B$12,Paramètres!$A$1:$I$89,5,0)</f>
        <v>274.28543999999994</v>
      </c>
      <c r="CA77" s="13">
        <f t="shared" si="93"/>
        <v>65.75791260290552</v>
      </c>
      <c r="CB77" s="20">
        <f t="shared" si="64"/>
        <v>592.24217245006037</v>
      </c>
      <c r="CC77" s="59">
        <f t="shared" si="65"/>
        <v>885.57550578339374</v>
      </c>
      <c r="CD77" s="59">
        <f ca="1">AVERAGE(OFFSET($CC$3,0,0,'Données projet'!$E$12+1,1))-AVERAGE(OFFSET($H$3,0,0,'Données projet'!$E$12+1,1))</f>
        <v>507.79096804746297</v>
      </c>
      <c r="CE77" s="59">
        <f t="shared" si="94"/>
        <v>312.67921212138998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34.657841348227592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34.657841348227592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318.97291652986593</v>
      </c>
      <c r="T78" s="59">
        <f t="shared" si="88"/>
        <v>338.19413170988122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4.5474735088646412E-13</v>
      </c>
      <c r="AJ78" s="13">
        <f>AI78*VLOOKUP('Données projet'!$B$10,Paramètres!$A$1:$I$89,3,0)*VLOOKUP('Données projet'!$B$10,Paramètres!$A$1:$I$89,5,0)</f>
        <v>2.7193891583010558E-13</v>
      </c>
      <c r="AK78" s="13">
        <f t="shared" si="89"/>
        <v>3.6362267729089988E-12</v>
      </c>
      <c r="AL78" s="20">
        <f t="shared" si="58"/>
        <v>6.8067219078872727E-12</v>
      </c>
      <c r="AM78" s="59">
        <f t="shared" si="59"/>
        <v>293.33333333334014</v>
      </c>
      <c r="AN78" s="59">
        <f ca="1">AVERAGE(OFFSET($AM$3,0,0,'Données projet'!$E$10+1,1))-AVERAGE(OFFSET($H$3,0,0,'Données projet'!$E$10+1,1))</f>
        <v>318.97291652986593</v>
      </c>
      <c r="AO78" s="59">
        <f t="shared" si="90"/>
        <v>338.19413170988122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12.041657824706615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6.8043498402336945E-6</v>
      </c>
      <c r="AX78" s="21">
        <f t="shared" si="60"/>
        <v>12.041664629056456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2.2737367544323206E-13</v>
      </c>
      <c r="BE78" s="13">
        <f>BD78*VLOOKUP('Données projet'!$B$11,Paramètres!$A$1:$I$89,3,0)*VLOOKUP('Données projet'!$B$11,Paramètres!$A$1:$I$89,5,0)</f>
        <v>2.0572770154103635E-13</v>
      </c>
      <c r="BF78" s="13">
        <f t="shared" si="91"/>
        <v>2.8416956338469711E-12</v>
      </c>
      <c r="BG78" s="20">
        <f t="shared" si="61"/>
        <v>5.3075956424674458E-12</v>
      </c>
      <c r="BH78" s="59">
        <f t="shared" si="62"/>
        <v>293.3333333333386</v>
      </c>
      <c r="BI78" s="59">
        <f ca="1">AVERAGE(OFFSET($BH$3,0,0,'Données projet'!$E$11+1,1))-AVERAGE(OFFSET($H$3,0,0,'Données projet'!$E$11+1,1))</f>
        <v>436.23918637269577</v>
      </c>
      <c r="BJ78" s="59">
        <f t="shared" si="92"/>
        <v>611.43967996341894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6.1533035047640761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6.1533035047640761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332.99999999999989</v>
      </c>
      <c r="BZ78" s="13">
        <f>BY78*VLOOKUP('Données projet'!$B$12,Paramètres!$A$1:$I$89,3,0)*VLOOKUP('Données projet'!$B$12,Paramètres!$A$1:$I$89,5,0)</f>
        <v>280.5191999999999</v>
      </c>
      <c r="CA78" s="13">
        <f t="shared" si="93"/>
        <v>67.076718933381159</v>
      </c>
      <c r="CB78" s="20">
        <f t="shared" si="64"/>
        <v>605.39622547563874</v>
      </c>
      <c r="CC78" s="59">
        <f t="shared" si="65"/>
        <v>898.72955880897212</v>
      </c>
      <c r="CD78" s="59">
        <f ca="1">AVERAGE(OFFSET($CC$3,0,0,'Données projet'!$E$12+1,1))-AVERAGE(OFFSET($H$3,0,0,'Données projet'!$E$12+1,1))</f>
        <v>507.79096804746297</v>
      </c>
      <c r="CE78" s="59">
        <f t="shared" si="94"/>
        <v>312.67921212138998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33.978222218584747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33.978222218584747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318.97291652986593</v>
      </c>
      <c r="T79" s="59">
        <f t="shared" si="88"/>
        <v>338.19413170988122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4.5474735088646412E-13</v>
      </c>
      <c r="AJ79" s="13">
        <f>AI79*VLOOKUP('Données projet'!$B$10,Paramètres!$A$1:$I$89,3,0)*VLOOKUP('Données projet'!$B$10,Paramètres!$A$1:$I$89,5,0)</f>
        <v>2.7193891583010558E-13</v>
      </c>
      <c r="AK79" s="13">
        <f t="shared" si="89"/>
        <v>3.6362267729089988E-12</v>
      </c>
      <c r="AL79" s="20">
        <f t="shared" si="58"/>
        <v>6.8067219078872727E-12</v>
      </c>
      <c r="AM79" s="59">
        <f t="shared" si="59"/>
        <v>293.33333333334014</v>
      </c>
      <c r="AN79" s="59">
        <f ca="1">AVERAGE(OFFSET($AM$3,0,0,'Données projet'!$E$10+1,1))-AVERAGE(OFFSET($H$3,0,0,'Données projet'!$E$10+1,1))</f>
        <v>318.97291652986593</v>
      </c>
      <c r="AO79" s="59">
        <f t="shared" si="90"/>
        <v>338.19413170988122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11.805528259450163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4.8114019135948465E-6</v>
      </c>
      <c r="AX79" s="21">
        <f t="shared" si="60"/>
        <v>11.805533070852077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2.2737367544323206E-13</v>
      </c>
      <c r="BE79" s="13">
        <f>BD79*VLOOKUP('Données projet'!$B$11,Paramètres!$A$1:$I$89,3,0)*VLOOKUP('Données projet'!$B$11,Paramètres!$A$1:$I$89,5,0)</f>
        <v>2.0572770154103635E-13</v>
      </c>
      <c r="BF79" s="13">
        <f t="shared" si="91"/>
        <v>2.8416956338469711E-12</v>
      </c>
      <c r="BG79" s="20">
        <f t="shared" si="61"/>
        <v>5.3075956424674458E-12</v>
      </c>
      <c r="BH79" s="59">
        <f t="shared" si="62"/>
        <v>293.3333333333386</v>
      </c>
      <c r="BI79" s="59">
        <f ca="1">AVERAGE(OFFSET($BH$3,0,0,'Données projet'!$E$11+1,1))-AVERAGE(OFFSET($H$3,0,0,'Données projet'!$E$11+1,1))</f>
        <v>436.23918637269577</v>
      </c>
      <c r="BJ79" s="59">
        <f t="shared" si="92"/>
        <v>611.43967996341894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6.0326409761801978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6.0326409761801978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340.39999999999986</v>
      </c>
      <c r="BZ79" s="13">
        <f>BY79*VLOOKUP('Données projet'!$B$12,Paramètres!$A$1:$I$89,3,0)*VLOOKUP('Données projet'!$B$12,Paramètres!$A$1:$I$89,5,0)</f>
        <v>286.75295999999992</v>
      </c>
      <c r="CA79" s="13">
        <f t="shared" si="93"/>
        <v>68.392118063243558</v>
      </c>
      <c r="CB79" s="20">
        <f t="shared" si="64"/>
        <v>618.54434429348237</v>
      </c>
      <c r="CC79" s="59">
        <f t="shared" si="65"/>
        <v>911.87767762681574</v>
      </c>
      <c r="CD79" s="59">
        <f ca="1">AVERAGE(OFFSET($CC$3,0,0,'Données projet'!$E$12+1,1))-AVERAGE(OFFSET($H$3,0,0,'Données projet'!$E$12+1,1))</f>
        <v>507.79096804746297</v>
      </c>
      <c r="CE79" s="59">
        <f t="shared" si="94"/>
        <v>312.67921212138998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33.31193000554746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33.31193000554746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318.97291652986593</v>
      </c>
      <c r="T80" s="59">
        <f t="shared" si="88"/>
        <v>338.19413170988122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9">
        <f t="shared" si="59"/>
        <v>293.33333333334014</v>
      </c>
      <c r="AN80" s="59">
        <f ca="1">AVERAGE(OFFSET($AM$3,0,0,'Données projet'!$E$10+1,1))-AVERAGE(OFFSET($H$3,0,0,'Données projet'!$E$10+1,1))</f>
        <v>318.97291652986593</v>
      </c>
      <c r="AO80" s="59">
        <f t="shared" si="90"/>
        <v>338.19413170988122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11.574029050943578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3.4021749201168472E-6</v>
      </c>
      <c r="AX80" s="21">
        <f t="shared" si="60"/>
        <v>11.574032453118498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2.2737367544323206E-13</v>
      </c>
      <c r="BE80" s="13">
        <f>BD80*VLOOKUP('Données projet'!$B$11,Paramètres!$A$1:$I$89,3,0)*VLOOKUP('Données projet'!$B$11,Paramètres!$A$1:$I$89,5,0)</f>
        <v>2.0572770154103635E-13</v>
      </c>
      <c r="BF80" s="13">
        <f t="shared" si="91"/>
        <v>2.8416956338469711E-12</v>
      </c>
      <c r="BG80" s="20">
        <f t="shared" si="61"/>
        <v>5.3075956424674458E-12</v>
      </c>
      <c r="BH80" s="59">
        <f t="shared" si="62"/>
        <v>293.3333333333386</v>
      </c>
      <c r="BI80" s="59">
        <f ca="1">AVERAGE(OFFSET($BH$3,0,0,'Données projet'!$E$11+1,1))-AVERAGE(OFFSET($H$3,0,0,'Données projet'!$E$11+1,1))</f>
        <v>436.23918637269577</v>
      </c>
      <c r="BJ80" s="59">
        <f t="shared" si="92"/>
        <v>611.43967996341894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5.9143445661849743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5.9143445661849743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347.79999999999984</v>
      </c>
      <c r="BZ80" s="13">
        <f>BY80*VLOOKUP('Données projet'!$B$12,Paramètres!$A$1:$I$89,3,0)*VLOOKUP('Données projet'!$B$12,Paramètres!$A$1:$I$89,5,0)</f>
        <v>292.98671999999988</v>
      </c>
      <c r="CA80" s="13">
        <f t="shared" si="93"/>
        <v>69.704192592377339</v>
      </c>
      <c r="CB80" s="20">
        <f t="shared" si="64"/>
        <v>631.6866727650571</v>
      </c>
      <c r="CC80" s="59">
        <f t="shared" si="65"/>
        <v>925.02000609839047</v>
      </c>
      <c r="CD80" s="59">
        <f ca="1">AVERAGE(OFFSET($CC$3,0,0,'Données projet'!$E$12+1,1))-AVERAGE(OFFSET($H$3,0,0,'Données projet'!$E$12+1,1))</f>
        <v>507.79096804746297</v>
      </c>
      <c r="CE80" s="59">
        <f t="shared" si="94"/>
        <v>312.67921212138998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32.658703376409711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32.658703376409711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318.97291652986593</v>
      </c>
      <c r="T81" s="59">
        <f t="shared" si="88"/>
        <v>338.19413170988122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9">
        <f t="shared" si="59"/>
        <v>293.33333333334014</v>
      </c>
      <c r="AN81" s="59">
        <f ca="1">AVERAGE(OFFSET($AM$3,0,0,'Données projet'!$E$10+1,1))-AVERAGE(OFFSET($H$3,0,0,'Données projet'!$E$10+1,1))</f>
        <v>318.97291652986593</v>
      </c>
      <c r="AO81" s="59">
        <f t="shared" si="90"/>
        <v>338.19413170988122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11.347069400715231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2.4057009567974233E-6</v>
      </c>
      <c r="AX81" s="21">
        <f t="shared" si="60"/>
        <v>11.347071806416189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2.2737367544323206E-13</v>
      </c>
      <c r="BE81" s="13">
        <f>BD81*VLOOKUP('Données projet'!$B$11,Paramètres!$A$1:$I$89,3,0)*VLOOKUP('Données projet'!$B$11,Paramètres!$A$1:$I$89,5,0)</f>
        <v>2.0572770154103635E-13</v>
      </c>
      <c r="BF81" s="13">
        <f t="shared" si="91"/>
        <v>2.8416956338469711E-12</v>
      </c>
      <c r="BG81" s="20">
        <f t="shared" si="61"/>
        <v>5.3075956424674458E-12</v>
      </c>
      <c r="BH81" s="59">
        <f t="shared" si="62"/>
        <v>293.3333333333386</v>
      </c>
      <c r="BI81" s="59">
        <f ca="1">AVERAGE(OFFSET($BH$3,0,0,'Données projet'!$E$11+1,1))-AVERAGE(OFFSET($H$3,0,0,'Données projet'!$E$11+1,1))</f>
        <v>436.23918637269577</v>
      </c>
      <c r="BJ81" s="59">
        <f t="shared" si="92"/>
        <v>611.43967996341894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5.798367876636072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5.798367876636072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355.19999999999982</v>
      </c>
      <c r="BZ81" s="13">
        <f>BY81*VLOOKUP('Données projet'!$B$12,Paramètres!$A$1:$I$89,3,0)*VLOOKUP('Données projet'!$B$12,Paramètres!$A$1:$I$89,5,0)</f>
        <v>299.22047999999984</v>
      </c>
      <c r="CA81" s="13">
        <f t="shared" si="93"/>
        <v>71.013021404971994</v>
      </c>
      <c r="CB81" s="20">
        <f t="shared" si="64"/>
        <v>644.82334828032594</v>
      </c>
      <c r="CC81" s="59">
        <f t="shared" si="65"/>
        <v>938.1566816136592</v>
      </c>
      <c r="CD81" s="59">
        <f ca="1">AVERAGE(OFFSET($CC$3,0,0,'Données projet'!$E$12+1,1))-AVERAGE(OFFSET($H$3,0,0,'Données projet'!$E$12+1,1))</f>
        <v>507.79096804746297</v>
      </c>
      <c r="CE81" s="59">
        <f t="shared" si="94"/>
        <v>312.67921212138998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32.018286123040454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32.018286123040454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318.97291652986593</v>
      </c>
      <c r="T82" s="59">
        <f t="shared" si="88"/>
        <v>338.19413170988122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9">
        <f t="shared" si="59"/>
        <v>293.33333333334014</v>
      </c>
      <c r="AN82" s="59">
        <f ca="1">AVERAGE(OFFSET($AM$3,0,0,'Données projet'!$E$10+1,1))-AVERAGE(OFFSET($H$3,0,0,'Données projet'!$E$10+1,1))</f>
        <v>318.97291652986593</v>
      </c>
      <c r="AO82" s="59">
        <f t="shared" si="90"/>
        <v>338.19413170988122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11.124560290796145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1.7010874600584236E-6</v>
      </c>
      <c r="AX82" s="21">
        <f t="shared" si="60"/>
        <v>11.124561991883605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2.2737367544323206E-13</v>
      </c>
      <c r="BE82" s="13">
        <f>BD82*VLOOKUP('Données projet'!$B$11,Paramètres!$A$1:$I$89,3,0)*VLOOKUP('Données projet'!$B$11,Paramètres!$A$1:$I$89,5,0)</f>
        <v>2.0572770154103635E-13</v>
      </c>
      <c r="BF82" s="13">
        <f t="shared" si="91"/>
        <v>2.8416956338469711E-12</v>
      </c>
      <c r="BG82" s="20">
        <f t="shared" si="61"/>
        <v>5.3075956424674458E-12</v>
      </c>
      <c r="BH82" s="59">
        <f t="shared" si="62"/>
        <v>293.3333333333386</v>
      </c>
      <c r="BI82" s="59">
        <f ca="1">AVERAGE(OFFSET($BH$3,0,0,'Données projet'!$E$11+1,1))-AVERAGE(OFFSET($H$3,0,0,'Données projet'!$E$11+1,1))</f>
        <v>436.23918637269577</v>
      </c>
      <c r="BJ82" s="59">
        <f t="shared" si="92"/>
        <v>611.43967996341894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5.684665419230428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5.684665419230428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362.5999999999998</v>
      </c>
      <c r="BZ82" s="13">
        <f>BY82*VLOOKUP('Données projet'!$B$12,Paramètres!$A$1:$I$89,3,0)*VLOOKUP('Données projet'!$B$12,Paramètres!$A$1:$I$89,5,0)</f>
        <v>305.45423999999986</v>
      </c>
      <c r="CA82" s="13">
        <f t="shared" si="93"/>
        <v>72.318679910540808</v>
      </c>
      <c r="CB82" s="20">
        <f t="shared" si="64"/>
        <v>657.954502177525</v>
      </c>
      <c r="CC82" s="59">
        <f t="shared" si="65"/>
        <v>951.28783551085826</v>
      </c>
      <c r="CD82" s="59">
        <f ca="1">AVERAGE(OFFSET($CC$3,0,0,'Données projet'!$E$12+1,1))-AVERAGE(OFFSET($H$3,0,0,'Données projet'!$E$12+1,1))</f>
        <v>507.79096804746297</v>
      </c>
      <c r="CE82" s="59">
        <f t="shared" si="94"/>
        <v>312.67921212138998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31.390427061393815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31.390427061393815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318.97291652986593</v>
      </c>
      <c r="T83" s="59">
        <f t="shared" si="88"/>
        <v>338.19413170988122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9">
        <f t="shared" si="59"/>
        <v>293.33333333334014</v>
      </c>
      <c r="AN83" s="59">
        <f ca="1">AVERAGE(OFFSET($AM$3,0,0,'Données projet'!$E$10+1,1))-AVERAGE(OFFSET($H$3,0,0,'Données projet'!$E$10+1,1))</f>
        <v>318.97291652986593</v>
      </c>
      <c r="AO83" s="59">
        <f t="shared" si="90"/>
        <v>338.19413170988122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10.906414448805416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1.2028504783987116E-6</v>
      </c>
      <c r="AX83" s="21">
        <f t="shared" si="60"/>
        <v>10.906415651655895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2.2737367544323206E-13</v>
      </c>
      <c r="BE83" s="13">
        <f>BD83*VLOOKUP('Données projet'!$B$11,Paramètres!$A$1:$I$89,3,0)*VLOOKUP('Données projet'!$B$11,Paramètres!$A$1:$I$89,5,0)</f>
        <v>2.0572770154103635E-13</v>
      </c>
      <c r="BF83" s="13">
        <f t="shared" si="91"/>
        <v>2.8416956338469711E-12</v>
      </c>
      <c r="BG83" s="20">
        <f t="shared" si="61"/>
        <v>5.3075956424674458E-12</v>
      </c>
      <c r="BH83" s="59">
        <f t="shared" si="62"/>
        <v>293.3333333333386</v>
      </c>
      <c r="BI83" s="59">
        <f ca="1">AVERAGE(OFFSET($BH$3,0,0,'Données projet'!$E$11+1,1))-AVERAGE(OFFSET($H$3,0,0,'Données projet'!$E$11+1,1))</f>
        <v>436.23918637269577</v>
      </c>
      <c r="BJ83" s="59">
        <f t="shared" si="92"/>
        <v>611.43967996341894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5.5731925976628576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5.5731925976628576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370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369.99999999999977</v>
      </c>
      <c r="BZ83" s="13">
        <f>BY83*VLOOKUP('Données projet'!$B$12,Paramètres!$A$1:$I$89,3,0)*VLOOKUP('Données projet'!$B$12,Paramètres!$A$1:$I$89,5,0)</f>
        <v>311.68799999999987</v>
      </c>
      <c r="CA83" s="13">
        <f t="shared" si="93"/>
        <v>73.621240264709428</v>
      </c>
      <c r="CB83" s="20">
        <f t="shared" si="64"/>
        <v>671.08026012770199</v>
      </c>
      <c r="CC83" s="59">
        <f t="shared" si="65"/>
        <v>964.41359346103536</v>
      </c>
      <c r="CD83" s="59">
        <f ca="1">AVERAGE(OFFSET($CC$3,0,0,'Données projet'!$E$12+1,1))-AVERAGE(OFFSET($H$3,0,0,'Données projet'!$E$12+1,1))</f>
        <v>507.79096804746297</v>
      </c>
      <c r="CE83" s="59">
        <f t="shared" si="94"/>
        <v>312.67921212138998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30.774879932989855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30.774879932989855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318.97291652986593</v>
      </c>
      <c r="T84" s="59">
        <f t="shared" si="88"/>
        <v>338.19413170988122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9">
        <f t="shared" si="59"/>
        <v>293.33333333334014</v>
      </c>
      <c r="AN84" s="59">
        <f ca="1">AVERAGE(OFFSET($AM$3,0,0,'Données projet'!$E$10+1,1))-AVERAGE(OFFSET($H$3,0,0,'Données projet'!$E$10+1,1))</f>
        <v>318.97291652986593</v>
      </c>
      <c r="AO84" s="59">
        <f t="shared" si="90"/>
        <v>338.19413170988122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10.6925463137203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8.5054373002921181E-7</v>
      </c>
      <c r="AX84" s="21">
        <f t="shared" si="60"/>
        <v>10.692547164264029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2.0572770154103635E-13</v>
      </c>
      <c r="BF84" s="13">
        <f t="shared" si="91"/>
        <v>2.8416956338469711E-12</v>
      </c>
      <c r="BG84" s="20">
        <f t="shared" si="61"/>
        <v>5.3075956424674458E-12</v>
      </c>
      <c r="BH84" s="59">
        <f t="shared" si="62"/>
        <v>293.3333333333386</v>
      </c>
      <c r="BI84" s="59">
        <f ca="1">AVERAGE(OFFSET($BH$3,0,0,'Données projet'!$E$11+1,1))-AVERAGE(OFFSET($H$3,0,0,'Données projet'!$E$11+1,1))</f>
        <v>436.23918637269577</v>
      </c>
      <c r="BJ84" s="59">
        <f t="shared" si="92"/>
        <v>611.43967996341894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5.4639056901345198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5.4639056901345198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320.5999999999998</v>
      </c>
      <c r="BZ84" s="13">
        <f>BY84*VLOOKUP('Données projet'!$B$12,Paramètres!$A$1:$I$89,3,0)*VLOOKUP('Données projet'!$B$12,Paramètres!$A$1:$I$89,5,0)</f>
        <v>270.07343999999989</v>
      </c>
      <c r="CA84" s="13">
        <f t="shared" si="93"/>
        <v>64.864854862635113</v>
      </c>
      <c r="CB84" s="20">
        <f t="shared" si="64"/>
        <v>583.35086355242265</v>
      </c>
      <c r="CC84" s="59">
        <f t="shared" si="65"/>
        <v>876.68419688575591</v>
      </c>
      <c r="CD84" s="59">
        <f ca="1">AVERAGE(OFFSET($CC$3,0,0,'Données projet'!$E$12+1,1))-AVERAGE(OFFSET($H$3,0,0,'Données projet'!$E$12+1,1))</f>
        <v>507.79096804746297</v>
      </c>
      <c r="CE84" s="59">
        <f t="shared" si="94"/>
        <v>312.67921212138998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30.171403308327218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30.171403308327218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318.97291652986593</v>
      </c>
      <c r="T85" s="59">
        <f t="shared" si="88"/>
        <v>338.19413170988122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9">
        <f t="shared" si="59"/>
        <v>293.33333333334014</v>
      </c>
      <c r="AN85" s="59">
        <f ca="1">AVERAGE(OFFSET($AM$3,0,0,'Données projet'!$E$10+1,1))-AVERAGE(OFFSET($H$3,0,0,'Données projet'!$E$10+1,1))</f>
        <v>318.97291652986593</v>
      </c>
      <c r="AO85" s="59">
        <f t="shared" si="90"/>
        <v>338.19413170988122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10.482872002317521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6.0142523919935582E-7</v>
      </c>
      <c r="AX85" s="21">
        <f t="shared" si="60"/>
        <v>10.482872603742759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2.0572770154103635E-13</v>
      </c>
      <c r="BF85" s="13">
        <f t="shared" si="91"/>
        <v>2.8416956338469711E-12</v>
      </c>
      <c r="BG85" s="20">
        <f t="shared" si="61"/>
        <v>5.3075956424674458E-12</v>
      </c>
      <c r="BH85" s="59">
        <f t="shared" si="62"/>
        <v>293.3333333333386</v>
      </c>
      <c r="BI85" s="59">
        <f ca="1">AVERAGE(OFFSET($BH$3,0,0,'Données projet'!$E$11+1,1))-AVERAGE(OFFSET($H$3,0,0,'Données projet'!$E$11+1,1))</f>
        <v>436.23918637269577</v>
      </c>
      <c r="BJ85" s="59">
        <f t="shared" si="92"/>
        <v>611.43967996341894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5.3567618322043806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5.3567618322043806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327.19999999999982</v>
      </c>
      <c r="BZ85" s="13">
        <f>BY85*VLOOKUP('Données projet'!$B$12,Paramètres!$A$1:$I$89,3,0)*VLOOKUP('Données projet'!$B$12,Paramètres!$A$1:$I$89,5,0)</f>
        <v>275.63327999999984</v>
      </c>
      <c r="CA85" s="13">
        <f t="shared" si="93"/>
        <v>66.043352919930101</v>
      </c>
      <c r="CB85" s="20">
        <f t="shared" si="64"/>
        <v>595.08680233554469</v>
      </c>
      <c r="CC85" s="59">
        <f t="shared" si="65"/>
        <v>888.42013566887795</v>
      </c>
      <c r="CD85" s="59">
        <f ca="1">AVERAGE(OFFSET($CC$3,0,0,'Données projet'!$E$12+1,1))-AVERAGE(OFFSET($H$3,0,0,'Données projet'!$E$12+1,1))</f>
        <v>507.79096804746297</v>
      </c>
      <c r="CE85" s="59">
        <f t="shared" si="94"/>
        <v>312.67921212138998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29.57976049218982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29.57976049218982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318.97291652986593</v>
      </c>
      <c r="T86" s="59">
        <f t="shared" si="88"/>
        <v>338.19413170988122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9">
        <f t="shared" si="59"/>
        <v>293.33333333334014</v>
      </c>
      <c r="AN86" s="59">
        <f ca="1">AVERAGE(OFFSET($AM$3,0,0,'Données projet'!$E$10+1,1))-AVERAGE(OFFSET($H$3,0,0,'Données projet'!$E$10+1,1))</f>
        <v>318.97291652986593</v>
      </c>
      <c r="AO86" s="59">
        <f t="shared" si="90"/>
        <v>338.19413170988122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10.277309276272648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4.252718650146059E-7</v>
      </c>
      <c r="AX86" s="21">
        <f t="shared" si="60"/>
        <v>10.277309701544514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2.0572770154103635E-13</v>
      </c>
      <c r="BF86" s="13">
        <f t="shared" si="91"/>
        <v>2.8416956338469711E-12</v>
      </c>
      <c r="BG86" s="20">
        <f t="shared" si="61"/>
        <v>5.3075956424674458E-12</v>
      </c>
      <c r="BH86" s="59">
        <f t="shared" si="62"/>
        <v>293.3333333333386</v>
      </c>
      <c r="BI86" s="59">
        <f ca="1">AVERAGE(OFFSET($BH$3,0,0,'Données projet'!$E$11+1,1))-AVERAGE(OFFSET($H$3,0,0,'Données projet'!$E$11+1,1))</f>
        <v>436.23918637269577</v>
      </c>
      <c r="BJ86" s="59">
        <f t="shared" si="92"/>
        <v>611.43967996341894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5.2517189999769514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5.2517189999769514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333.79999999999984</v>
      </c>
      <c r="BZ86" s="13">
        <f>BY86*VLOOKUP('Données projet'!$B$12,Paramètres!$A$1:$I$89,3,0)*VLOOKUP('Données projet'!$B$12,Paramètres!$A$1:$I$89,5,0)</f>
        <v>281.19311999999991</v>
      </c>
      <c r="CA86" s="13">
        <f t="shared" si="93"/>
        <v>67.219087003698235</v>
      </c>
      <c r="CB86" s="20">
        <f t="shared" si="64"/>
        <v>606.81792719810755</v>
      </c>
      <c r="CC86" s="59">
        <f t="shared" si="65"/>
        <v>900.15126053144081</v>
      </c>
      <c r="CD86" s="59">
        <f ca="1">AVERAGE(OFFSET($CC$3,0,0,'Données projet'!$E$12+1,1))-AVERAGE(OFFSET($H$3,0,0,'Données projet'!$E$12+1,1))</f>
        <v>507.79096804746297</v>
      </c>
      <c r="CE86" s="59">
        <f t="shared" si="94"/>
        <v>312.67921212138998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28.999719430810391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28.999719430810391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318.97291652986593</v>
      </c>
      <c r="T87" s="59">
        <f t="shared" si="88"/>
        <v>338.19413170988122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9">
        <f t="shared" si="59"/>
        <v>293.33333333334014</v>
      </c>
      <c r="AN87" s="59">
        <f ca="1">AVERAGE(OFFSET($AM$3,0,0,'Données projet'!$E$10+1,1))-AVERAGE(OFFSET($H$3,0,0,'Données projet'!$E$10+1,1))</f>
        <v>318.97291652986593</v>
      </c>
      <c r="AO87" s="59">
        <f t="shared" si="90"/>
        <v>338.19413170988122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10.075777509904633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3.0071261959967791E-7</v>
      </c>
      <c r="AX87" s="21">
        <f t="shared" si="60"/>
        <v>10.075777810617252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2.0572770154103635E-13</v>
      </c>
      <c r="BF87" s="13">
        <f t="shared" si="91"/>
        <v>2.8416956338469711E-12</v>
      </c>
      <c r="BG87" s="20">
        <f t="shared" si="61"/>
        <v>5.3075956424674458E-12</v>
      </c>
      <c r="BH87" s="59">
        <f t="shared" si="62"/>
        <v>293.3333333333386</v>
      </c>
      <c r="BI87" s="59">
        <f ca="1">AVERAGE(OFFSET($BH$3,0,0,'Données projet'!$E$11+1,1))-AVERAGE(OFFSET($H$3,0,0,'Données projet'!$E$11+1,1))</f>
        <v>436.23918637269577</v>
      </c>
      <c r="BJ87" s="59">
        <f t="shared" si="92"/>
        <v>611.43967996341894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5.1487359936197006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5.1487359936197006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340.39999999999986</v>
      </c>
      <c r="BZ87" s="13">
        <f>BY87*VLOOKUP('Données projet'!$B$12,Paramètres!$A$1:$I$89,3,0)*VLOOKUP('Données projet'!$B$12,Paramètres!$A$1:$I$89,5,0)</f>
        <v>286.75295999999992</v>
      </c>
      <c r="CA87" s="13">
        <f t="shared" si="93"/>
        <v>68.392118063243558</v>
      </c>
      <c r="CB87" s="20">
        <f t="shared" si="64"/>
        <v>618.54434429348237</v>
      </c>
      <c r="CC87" s="59">
        <f t="shared" si="65"/>
        <v>911.87767762681574</v>
      </c>
      <c r="CD87" s="59">
        <f ca="1">AVERAGE(OFFSET($CC$3,0,0,'Données projet'!$E$12+1,1))-AVERAGE(OFFSET($H$3,0,0,'Données projet'!$E$12+1,1))</f>
        <v>507.79096804746297</v>
      </c>
      <c r="CE87" s="59">
        <f t="shared" si="94"/>
        <v>312.67921212138998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28.431052620854498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28.431052620854498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318.97291652986593</v>
      </c>
      <c r="T88" s="59">
        <f t="shared" si="88"/>
        <v>338.19413170988122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9">
        <f t="shared" si="59"/>
        <v>293.33333333334014</v>
      </c>
      <c r="AN88" s="59">
        <f ca="1">AVERAGE(OFFSET($AM$3,0,0,'Données projet'!$E$10+1,1))-AVERAGE(OFFSET($H$3,0,0,'Données projet'!$E$10+1,1))</f>
        <v>318.97291652986593</v>
      </c>
      <c r="AO88" s="59">
        <f t="shared" si="90"/>
        <v>338.19413170988122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9.878197658552855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2.1263593250730295E-7</v>
      </c>
      <c r="AX88" s="21">
        <f t="shared" si="60"/>
        <v>9.878197871188787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2.0572770154103635E-13</v>
      </c>
      <c r="BF88" s="13">
        <f t="shared" si="91"/>
        <v>2.8416956338469711E-12</v>
      </c>
      <c r="BG88" s="20">
        <f t="shared" si="61"/>
        <v>5.3075956424674458E-12</v>
      </c>
      <c r="BH88" s="59">
        <f t="shared" si="62"/>
        <v>293.3333333333386</v>
      </c>
      <c r="BI88" s="59">
        <f ca="1">AVERAGE(OFFSET($BH$3,0,0,'Données projet'!$E$11+1,1))-AVERAGE(OFFSET($H$3,0,0,'Données projet'!$E$11+1,1))</f>
        <v>436.23918637269577</v>
      </c>
      <c r="BJ88" s="59">
        <f t="shared" si="92"/>
        <v>611.43967996341894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5.0477724212036836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5.0477724212036836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346.99999999999989</v>
      </c>
      <c r="BZ88" s="13">
        <f>BY88*VLOOKUP('Données projet'!$B$12,Paramètres!$A$1:$I$89,3,0)*VLOOKUP('Données projet'!$B$12,Paramètres!$A$1:$I$89,5,0)</f>
        <v>292.31279999999992</v>
      </c>
      <c r="CA88" s="13">
        <f t="shared" si="93"/>
        <v>69.562504549179607</v>
      </c>
      <c r="CB88" s="20">
        <f t="shared" si="64"/>
        <v>630.26615542315426</v>
      </c>
      <c r="CC88" s="59">
        <f t="shared" si="65"/>
        <v>923.59948875648752</v>
      </c>
      <c r="CD88" s="59">
        <f ca="1">AVERAGE(OFFSET($CC$3,0,0,'Données projet'!$E$12+1,1))-AVERAGE(OFFSET($H$3,0,0,'Données projet'!$E$12+1,1))</f>
        <v>507.79096804746297</v>
      </c>
      <c r="CE88" s="59">
        <f t="shared" si="94"/>
        <v>312.67921212138998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27.873537020189335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27.873537020189335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318.97291652986593</v>
      </c>
      <c r="T89" s="59">
        <f t="shared" si="88"/>
        <v>338.19413170988122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9">
        <f t="shared" si="59"/>
        <v>293.33333333334014</v>
      </c>
      <c r="AN89" s="59">
        <f ca="1">AVERAGE(OFFSET($AM$3,0,0,'Données projet'!$E$10+1,1))-AVERAGE(OFFSET($H$3,0,0,'Données projet'!$E$10+1,1))</f>
        <v>318.97291652986593</v>
      </c>
      <c r="AO89" s="59">
        <f t="shared" si="90"/>
        <v>338.19413170988122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9.6844922275742746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1.5035630979983895E-7</v>
      </c>
      <c r="AX89" s="21">
        <f t="shared" si="60"/>
        <v>9.6844923779305851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2.0572770154103635E-13</v>
      </c>
      <c r="BF89" s="13">
        <f t="shared" si="91"/>
        <v>2.8416956338469711E-12</v>
      </c>
      <c r="BG89" s="20">
        <f t="shared" si="61"/>
        <v>5.3075956424674458E-12</v>
      </c>
      <c r="BH89" s="59">
        <f t="shared" si="62"/>
        <v>293.3333333333386</v>
      </c>
      <c r="BI89" s="59">
        <f ca="1">AVERAGE(OFFSET($BH$3,0,0,'Données projet'!$E$11+1,1))-AVERAGE(OFFSET($H$3,0,0,'Données projet'!$E$11+1,1))</f>
        <v>436.23918637269577</v>
      </c>
      <c r="BJ89" s="59">
        <f t="shared" si="92"/>
        <v>611.43967996341894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4.9487886828610463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4.9487886828610463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353.59999999999991</v>
      </c>
      <c r="BZ89" s="13">
        <f>BY89*VLOOKUP('Données projet'!$B$12,Paramètres!$A$1:$I$89,3,0)*VLOOKUP('Données projet'!$B$12,Paramètres!$A$1:$I$89,5,0)</f>
        <v>297.87263999999993</v>
      </c>
      <c r="CA89" s="13">
        <f t="shared" si="93"/>
        <v>70.730302561409658</v>
      </c>
      <c r="CB89" s="20">
        <f t="shared" si="64"/>
        <v>641.98345829445509</v>
      </c>
      <c r="CC89" s="59">
        <f t="shared" si="65"/>
        <v>935.31679162778846</v>
      </c>
      <c r="CD89" s="59">
        <f ca="1">AVERAGE(OFFSET($CC$3,0,0,'Données projet'!$E$12+1,1))-AVERAGE(OFFSET($H$3,0,0,'Données projet'!$E$12+1,1))</f>
        <v>507.79096804746297</v>
      </c>
      <c r="CE89" s="59">
        <f t="shared" si="94"/>
        <v>312.67921212138998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27.326953960402278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27.326953960402278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318.97291652986593</v>
      </c>
      <c r="T90" s="59">
        <f t="shared" si="88"/>
        <v>338.19413170988122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9">
        <f t="shared" si="59"/>
        <v>293.33333333334014</v>
      </c>
      <c r="AN90" s="59">
        <f ca="1">AVERAGE(OFFSET($AM$3,0,0,'Données projet'!$E$10+1,1))-AVERAGE(OFFSET($H$3,0,0,'Données projet'!$E$10+1,1))</f>
        <v>318.97291652986593</v>
      </c>
      <c r="AO90" s="59">
        <f t="shared" si="90"/>
        <v>338.19413170988122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9.4945852419485384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1.0631796625365148E-7</v>
      </c>
      <c r="AX90" s="21">
        <f t="shared" si="60"/>
        <v>9.4945853482665044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2.0572770154103635E-13</v>
      </c>
      <c r="BF90" s="13">
        <f t="shared" si="91"/>
        <v>2.8416956338469711E-12</v>
      </c>
      <c r="BG90" s="20">
        <f t="shared" si="61"/>
        <v>5.3075956424674458E-12</v>
      </c>
      <c r="BH90" s="59">
        <f t="shared" si="62"/>
        <v>293.3333333333386</v>
      </c>
      <c r="BI90" s="59">
        <f ca="1">AVERAGE(OFFSET($BH$3,0,0,'Données projet'!$E$11+1,1))-AVERAGE(OFFSET($H$3,0,0,'Données projet'!$E$11+1,1))</f>
        <v>436.23918637269577</v>
      </c>
      <c r="BJ90" s="59">
        <f t="shared" si="92"/>
        <v>611.43967996341894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4.8517459552531896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4.8517459552531896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360.19999999999993</v>
      </c>
      <c r="BZ90" s="13">
        <f>BY90*VLOOKUP('Données projet'!$B$12,Paramètres!$A$1:$I$89,3,0)*VLOOKUP('Données projet'!$B$12,Paramètres!$A$1:$I$89,5,0)</f>
        <v>303.43248</v>
      </c>
      <c r="CA90" s="13">
        <f t="shared" si="93"/>
        <v>71.895565985746146</v>
      </c>
      <c r="CB90" s="20">
        <f t="shared" si="64"/>
        <v>653.69634675850784</v>
      </c>
      <c r="CC90" s="59">
        <f t="shared" si="65"/>
        <v>947.0296800918411</v>
      </c>
      <c r="CD90" s="59">
        <f ca="1">AVERAGE(OFFSET($CC$3,0,0,'Données projet'!$E$12+1,1))-AVERAGE(OFFSET($H$3,0,0,'Données projet'!$E$12+1,1))</f>
        <v>507.79096804746297</v>
      </c>
      <c r="CE90" s="59">
        <f t="shared" si="94"/>
        <v>312.67921212138998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26.791089061034896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26.791089061034896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318.97291652986593</v>
      </c>
      <c r="T91" s="59">
        <f t="shared" si="88"/>
        <v>338.19413170988122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9">
        <f t="shared" si="59"/>
        <v>293.33333333334014</v>
      </c>
      <c r="AN91" s="59">
        <f ca="1">AVERAGE(OFFSET($AM$3,0,0,'Données projet'!$E$10+1,1))-AVERAGE(OFFSET($H$3,0,0,'Données projet'!$E$10+1,1))</f>
        <v>318.97291652986593</v>
      </c>
      <c r="AO91" s="59">
        <f t="shared" si="90"/>
        <v>338.19413170988122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9.3084022164790987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7.5178154899919477E-8</v>
      </c>
      <c r="AX91" s="21">
        <f t="shared" si="60"/>
        <v>9.308402291657254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2.0572770154103635E-13</v>
      </c>
      <c r="BF91" s="13">
        <f t="shared" si="91"/>
        <v>2.8416956338469711E-12</v>
      </c>
      <c r="BG91" s="20">
        <f t="shared" si="61"/>
        <v>5.3075956424674458E-12</v>
      </c>
      <c r="BH91" s="59">
        <f t="shared" si="62"/>
        <v>293.3333333333386</v>
      </c>
      <c r="BI91" s="59">
        <f ca="1">AVERAGE(OFFSET($BH$3,0,0,'Données projet'!$E$11+1,1))-AVERAGE(OFFSET($H$3,0,0,'Données projet'!$E$11+1,1))</f>
        <v>436.23918637269577</v>
      </c>
      <c r="BJ91" s="59">
        <f t="shared" si="92"/>
        <v>611.43967996341894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4.756606176343503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4.756606176343503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366.79999999999995</v>
      </c>
      <c r="BZ91" s="13">
        <f>BY91*VLOOKUP('Données projet'!$B$12,Paramètres!$A$1:$I$89,3,0)*VLOOKUP('Données projet'!$B$12,Paramètres!$A$1:$I$89,5,0)</f>
        <v>308.99231999999995</v>
      </c>
      <c r="CA91" s="13">
        <f t="shared" si="93"/>
        <v>73.058346620234332</v>
      </c>
      <c r="CB91" s="20">
        <f t="shared" si="64"/>
        <v>665.40491103024135</v>
      </c>
      <c r="CC91" s="59">
        <f t="shared" si="65"/>
        <v>958.73824436357472</v>
      </c>
      <c r="CD91" s="59">
        <f ca="1">AVERAGE(OFFSET($CC$3,0,0,'Données projet'!$E$12+1,1))-AVERAGE(OFFSET($H$3,0,0,'Données projet'!$E$12+1,1))</f>
        <v>507.79096804746297</v>
      </c>
      <c r="CE91" s="59">
        <f t="shared" si="94"/>
        <v>312.67921212138998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26.265732145498795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26.265732145498795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318.97291652986593</v>
      </c>
      <c r="T92" s="59">
        <f t="shared" si="88"/>
        <v>338.19413170988122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9">
        <f t="shared" si="59"/>
        <v>293.33333333334014</v>
      </c>
      <c r="AN92" s="59">
        <f ca="1">AVERAGE(OFFSET($AM$3,0,0,'Données projet'!$E$10+1,1))-AVERAGE(OFFSET($H$3,0,0,'Données projet'!$E$10+1,1))</f>
        <v>318.97291652986593</v>
      </c>
      <c r="AO92" s="59">
        <f t="shared" si="90"/>
        <v>338.19413170988122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9.1258701265786826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5.3158983126825738E-8</v>
      </c>
      <c r="AX92" s="21">
        <f t="shared" si="60"/>
        <v>9.1258701797376656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2.0572770154103635E-13</v>
      </c>
      <c r="BF92" s="13">
        <f t="shared" si="91"/>
        <v>2.8416956338469711E-12</v>
      </c>
      <c r="BG92" s="20">
        <f t="shared" si="61"/>
        <v>5.3075956424674458E-12</v>
      </c>
      <c r="BH92" s="59">
        <f t="shared" si="62"/>
        <v>293.3333333333386</v>
      </c>
      <c r="BI92" s="59">
        <f ca="1">AVERAGE(OFFSET($BH$3,0,0,'Données projet'!$E$11+1,1))-AVERAGE(OFFSET($H$3,0,0,'Données projet'!$E$11+1,1))</f>
        <v>436.23918637269577</v>
      </c>
      <c r="BJ92" s="59">
        <f t="shared" si="92"/>
        <v>611.43967996341894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4.6633320304687009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4.6633320304687009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373.4</v>
      </c>
      <c r="BZ92" s="13">
        <f>BY92*VLOOKUP('Données projet'!$B$12,Paramètres!$A$1:$I$89,3,0)*VLOOKUP('Données projet'!$B$12,Paramètres!$A$1:$I$89,5,0)</f>
        <v>314.55216000000001</v>
      </c>
      <c r="CA92" s="13">
        <f t="shared" si="93"/>
        <v>74.218694292125434</v>
      </c>
      <c r="CB92" s="20">
        <f t="shared" si="64"/>
        <v>677.10923789211859</v>
      </c>
      <c r="CC92" s="59">
        <f t="shared" si="65"/>
        <v>970.44257122545196</v>
      </c>
      <c r="CD92" s="59">
        <f ca="1">AVERAGE(OFFSET($CC$3,0,0,'Données projet'!$E$12+1,1))-AVERAGE(OFFSET($H$3,0,0,'Données projet'!$E$12+1,1))</f>
        <v>507.79096804746297</v>
      </c>
      <c r="CE92" s="59">
        <f t="shared" si="94"/>
        <v>312.67921212138998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25.750677158640279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25.750677158640279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318.97291652986593</v>
      </c>
      <c r="T93" s="59">
        <f t="shared" si="88"/>
        <v>338.19413170988122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9">
        <f t="shared" si="59"/>
        <v>293.33333333334014</v>
      </c>
      <c r="AN93" s="59">
        <f ca="1">AVERAGE(OFFSET($AM$3,0,0,'Données projet'!$E$10+1,1))-AVERAGE(OFFSET($H$3,0,0,'Données projet'!$E$10+1,1))</f>
        <v>318.97291652986593</v>
      </c>
      <c r="AO93" s="59">
        <f t="shared" si="90"/>
        <v>338.19413170988122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8.9469173796276316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3.7589077449959738E-8</v>
      </c>
      <c r="AX93" s="21">
        <f t="shared" si="60"/>
        <v>8.9469174172167083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2.0572770154103635E-13</v>
      </c>
      <c r="BF93" s="13">
        <f t="shared" si="91"/>
        <v>2.8416956338469711E-12</v>
      </c>
      <c r="BG93" s="20">
        <f t="shared" si="61"/>
        <v>5.3075956424674458E-12</v>
      </c>
      <c r="BH93" s="59">
        <f t="shared" si="62"/>
        <v>293.3333333333386</v>
      </c>
      <c r="BI93" s="59">
        <f ca="1">AVERAGE(OFFSET($BH$3,0,0,'Données projet'!$E$11+1,1))-AVERAGE(OFFSET($H$3,0,0,'Données projet'!$E$11+1,1))</f>
        <v>436.23918637269577</v>
      </c>
      <c r="BJ93" s="59">
        <f t="shared" si="92"/>
        <v>611.43967996341894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4.571886933702892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4.571886933702892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380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380</v>
      </c>
      <c r="BZ93" s="13">
        <f>BY93*VLOOKUP('Données projet'!$B$12,Paramètres!$A$1:$I$89,3,0)*VLOOKUP('Données projet'!$B$12,Paramètres!$A$1:$I$89,5,0)</f>
        <v>320.11200000000002</v>
      </c>
      <c r="CA93" s="13">
        <f t="shared" si="93"/>
        <v>75.376656966346744</v>
      </c>
      <c r="CB93" s="20">
        <f t="shared" si="64"/>
        <v>688.80941088305383</v>
      </c>
      <c r="CC93" s="59">
        <f t="shared" si="65"/>
        <v>982.1427442163872</v>
      </c>
      <c r="CD93" s="59">
        <f ca="1">AVERAGE(OFFSET($CC$3,0,0,'Données projet'!$E$12+1,1))-AVERAGE(OFFSET($H$3,0,0,'Données projet'!$E$12+1,1))</f>
        <v>507.79096804746297</v>
      </c>
      <c r="CE93" s="59">
        <f t="shared" si="94"/>
        <v>312.67921212138998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47.670179890984393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47.670179890984393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318.97291652986593</v>
      </c>
      <c r="T94" s="59">
        <f t="shared" si="88"/>
        <v>338.19413170988122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9">
        <f t="shared" si="59"/>
        <v>293.33333333334014</v>
      </c>
      <c r="AN94" s="59">
        <f ca="1">AVERAGE(OFFSET($AM$3,0,0,'Données projet'!$E$10+1,1))-AVERAGE(OFFSET($H$3,0,0,'Données projet'!$E$10+1,1))</f>
        <v>318.97291652986593</v>
      </c>
      <c r="AO94" s="59">
        <f t="shared" si="90"/>
        <v>338.19413170988122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8.7714737868938926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2.6579491563412869E-8</v>
      </c>
      <c r="AX94" s="21">
        <f t="shared" si="60"/>
        <v>8.771473813473385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2.0572770154103635E-13</v>
      </c>
      <c r="BF94" s="13">
        <f t="shared" si="91"/>
        <v>2.8416956338469711E-12</v>
      </c>
      <c r="BG94" s="20">
        <f t="shared" si="61"/>
        <v>5.3075956424674458E-12</v>
      </c>
      <c r="BH94" s="59">
        <f t="shared" si="62"/>
        <v>293.3333333333386</v>
      </c>
      <c r="BI94" s="59">
        <f ca="1">AVERAGE(OFFSET($BH$3,0,0,'Données projet'!$E$11+1,1))-AVERAGE(OFFSET($H$3,0,0,'Données projet'!$E$11+1,1))</f>
        <v>436.23918637269577</v>
      </c>
      <c r="BJ94" s="59">
        <f t="shared" si="92"/>
        <v>611.43967996341894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4.4822350195086589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4.4822350195086589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5.9</v>
      </c>
      <c r="BY94" s="12">
        <f>IF('Données projet'!$A$114&gt;35,BY93+BX94-CG93,IF(A94&lt;'Données projet'!$A$114,$BV$205^A94,IF(A94='Données projet'!$A$114,'Données projet'!$B$114,BY93+BX94-CG93)))</f>
        <v>329.9</v>
      </c>
      <c r="BZ94" s="13">
        <f>BY94*VLOOKUP('Données projet'!$B$12,Paramètres!$A$1:$I$89,3,0)*VLOOKUP('Données projet'!$B$12,Paramètres!$A$1:$I$89,5,0)</f>
        <v>277.90776</v>
      </c>
      <c r="CA94" s="13">
        <f t="shared" si="93"/>
        <v>66.524665602018615</v>
      </c>
      <c r="CB94" s="20">
        <f t="shared" si="64"/>
        <v>599.8864745901825</v>
      </c>
      <c r="CC94" s="59">
        <f t="shared" si="65"/>
        <v>893.21980792351587</v>
      </c>
      <c r="CD94" s="59">
        <f ca="1">AVERAGE(OFFSET($CC$3,0,0,'Données projet'!$E$12+1,1))-AVERAGE(OFFSET($H$3,0,0,'Données projet'!$E$12+1,1))</f>
        <v>507.79096804746297</v>
      </c>
      <c r="CE94" s="59">
        <f t="shared" si="94"/>
        <v>312.67921212138998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46.735396739260914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46.735396739260914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318.97291652986593</v>
      </c>
      <c r="T95" s="59">
        <f t="shared" si="88"/>
        <v>338.19413170988122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9">
        <f t="shared" si="59"/>
        <v>293.33333333334014</v>
      </c>
      <c r="AN95" s="59">
        <f ca="1">AVERAGE(OFFSET($AM$3,0,0,'Données projet'!$E$10+1,1))-AVERAGE(OFFSET($H$3,0,0,'Données projet'!$E$10+1,1))</f>
        <v>318.97291652986593</v>
      </c>
      <c r="AO95" s="59">
        <f t="shared" si="90"/>
        <v>338.19413170988122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8.5994705360036381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1.8794538724979869E-8</v>
      </c>
      <c r="AX95" s="21">
        <f t="shared" si="60"/>
        <v>8.5994705547981773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2.0572770154103635E-13</v>
      </c>
      <c r="BF95" s="13">
        <f t="shared" si="91"/>
        <v>2.8416956338469711E-12</v>
      </c>
      <c r="BG95" s="20">
        <f t="shared" si="61"/>
        <v>5.3075956424674458E-12</v>
      </c>
      <c r="BH95" s="59">
        <f t="shared" si="62"/>
        <v>293.3333333333386</v>
      </c>
      <c r="BI95" s="59">
        <f ca="1">AVERAGE(OFFSET($BH$3,0,0,'Données projet'!$E$11+1,1))-AVERAGE(OFFSET($H$3,0,0,'Données projet'!$E$11+1,1))</f>
        <v>436.23918637269577</v>
      </c>
      <c r="BJ95" s="59">
        <f t="shared" si="92"/>
        <v>611.43967996341894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4.3943411246695065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4.3943411246695065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5.9</v>
      </c>
      <c r="BY95" s="12">
        <f>IF('Données projet'!$A$114&gt;35,BY94+BX95-CG94,IF(A95&lt;'Données projet'!$A$114,$BV$205^A95,IF(A95='Données projet'!$A$114,'Données projet'!$B$114,BY94+BX95-CG94)))</f>
        <v>335.79999999999995</v>
      </c>
      <c r="BZ95" s="13">
        <f>BY95*VLOOKUP('Données projet'!$B$12,Paramètres!$A$1:$I$89,3,0)*VLOOKUP('Données projet'!$B$12,Paramètres!$A$1:$I$89,5,0)</f>
        <v>282.87792000000002</v>
      </c>
      <c r="CA95" s="13">
        <f t="shared" si="93"/>
        <v>67.574833676246314</v>
      </c>
      <c r="CB95" s="20">
        <f t="shared" si="64"/>
        <v>610.37187931946244</v>
      </c>
      <c r="CC95" s="59">
        <f t="shared" si="65"/>
        <v>903.70521265279581</v>
      </c>
      <c r="CD95" s="59">
        <f ca="1">AVERAGE(OFFSET($CC$3,0,0,'Données projet'!$E$12+1,1))-AVERAGE(OFFSET($H$3,0,0,'Données projet'!$E$12+1,1))</f>
        <v>507.79096804746297</v>
      </c>
      <c r="CE95" s="59">
        <f t="shared" si="94"/>
        <v>312.67921212138998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45.818944114981306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45.818944114981306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318.97291652986593</v>
      </c>
      <c r="T96" s="59">
        <f t="shared" si="88"/>
        <v>338.19413170988122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9">
        <f t="shared" si="59"/>
        <v>293.33333333334014</v>
      </c>
      <c r="AN96" s="59">
        <f ca="1">AVERAGE(OFFSET($AM$3,0,0,'Données projet'!$E$10+1,1))-AVERAGE(OFFSET($H$3,0,0,'Données projet'!$E$10+1,1))</f>
        <v>318.97291652986593</v>
      </c>
      <c r="AO96" s="59">
        <f t="shared" si="90"/>
        <v>338.19413170988122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8.4308401639517179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1.3289745781706434E-8</v>
      </c>
      <c r="AX96" s="21">
        <f t="shared" si="60"/>
        <v>8.4308401772414641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2.0572770154103635E-13</v>
      </c>
      <c r="BF96" s="13">
        <f t="shared" si="91"/>
        <v>2.8416956338469711E-12</v>
      </c>
      <c r="BG96" s="20">
        <f t="shared" si="61"/>
        <v>5.3075956424674458E-12</v>
      </c>
      <c r="BH96" s="59">
        <f t="shared" si="62"/>
        <v>293.3333333333386</v>
      </c>
      <c r="BI96" s="59">
        <f ca="1">AVERAGE(OFFSET($BH$3,0,0,'Données projet'!$E$11+1,1))-AVERAGE(OFFSET($H$3,0,0,'Données projet'!$E$11+1,1))</f>
        <v>436.23918637269577</v>
      </c>
      <c r="BJ96" s="59">
        <f t="shared" si="92"/>
        <v>611.43967996341894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4.3081707754981675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4.3081707754981675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5.9</v>
      </c>
      <c r="BY96" s="12">
        <f>IF('Données projet'!$A$114&gt;35,BY95+BX96-CG95,IF(A96&lt;'Données projet'!$A$114,$BV$205^A96,IF(A96='Données projet'!$A$114,'Données projet'!$B$114,BY95+BX96-CG95)))</f>
        <v>341.69999999999993</v>
      </c>
      <c r="BZ96" s="13">
        <f>BY96*VLOOKUP('Données projet'!$B$12,Paramètres!$A$1:$I$89,3,0)*VLOOKUP('Données projet'!$B$12,Paramètres!$A$1:$I$89,5,0)</f>
        <v>287.84807999999998</v>
      </c>
      <c r="CA96" s="13">
        <f t="shared" si="93"/>
        <v>68.62285608154238</v>
      </c>
      <c r="CB96" s="20">
        <f t="shared" si="64"/>
        <v>620.85354700868629</v>
      </c>
      <c r="CC96" s="59">
        <f t="shared" si="65"/>
        <v>914.18688034201955</v>
      </c>
      <c r="CD96" s="59">
        <f ca="1">AVERAGE(OFFSET($CC$3,0,0,'Données projet'!$E$12+1,1))-AVERAGE(OFFSET($H$3,0,0,'Données projet'!$E$12+1,1))</f>
        <v>507.79096804746297</v>
      </c>
      <c r="CE96" s="59">
        <f t="shared" si="94"/>
        <v>312.67921212138998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44.920462567682918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44.920462567682918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318.97291652986593</v>
      </c>
      <c r="T97" s="59">
        <f t="shared" si="88"/>
        <v>338.19413170988122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9">
        <f t="shared" si="59"/>
        <v>293.33333333334014</v>
      </c>
      <c r="AN97" s="59">
        <f ca="1">AVERAGE(OFFSET($AM$3,0,0,'Données projet'!$E$10+1,1))-AVERAGE(OFFSET($H$3,0,0,'Données projet'!$E$10+1,1))</f>
        <v>318.97291652986593</v>
      </c>
      <c r="AO97" s="59">
        <f t="shared" si="90"/>
        <v>338.19413170988122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8.2655165306413636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9.3972693624899346E-9</v>
      </c>
      <c r="AX97" s="21">
        <f t="shared" si="60"/>
        <v>8.2655165400386323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2.0572770154103635E-13</v>
      </c>
      <c r="BF97" s="13">
        <f t="shared" si="91"/>
        <v>2.8416956338469711E-12</v>
      </c>
      <c r="BG97" s="20">
        <f t="shared" si="61"/>
        <v>5.3075956424674458E-12</v>
      </c>
      <c r="BH97" s="59">
        <f t="shared" si="62"/>
        <v>293.3333333333386</v>
      </c>
      <c r="BI97" s="59">
        <f ca="1">AVERAGE(OFFSET($BH$3,0,0,'Données projet'!$E$11+1,1))-AVERAGE(OFFSET($H$3,0,0,'Données projet'!$E$11+1,1))</f>
        <v>436.23918637269577</v>
      </c>
      <c r="BJ97" s="59">
        <f t="shared" si="92"/>
        <v>611.43967996341894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4.2236901743153554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4.2236901743153554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5.9</v>
      </c>
      <c r="BY97" s="12">
        <f>IF('Données projet'!$A$114&gt;35,BY96+BX97-CG96,IF(A97&lt;'Données projet'!$A$114,$BV$205^A97,IF(A97='Données projet'!$A$114,'Données projet'!$B$114,BY96+BX97-CG96)))</f>
        <v>347.59999999999991</v>
      </c>
      <c r="BZ97" s="13">
        <f>BY97*VLOOKUP('Données projet'!$B$12,Paramètres!$A$1:$I$89,3,0)*VLOOKUP('Données projet'!$B$12,Paramètres!$A$1:$I$89,5,0)</f>
        <v>292.81823999999995</v>
      </c>
      <c r="CA97" s="13">
        <f t="shared" si="93"/>
        <v>69.668774141370633</v>
      </c>
      <c r="CB97" s="20">
        <f t="shared" si="64"/>
        <v>631.33154962955371</v>
      </c>
      <c r="CC97" s="59">
        <f t="shared" si="65"/>
        <v>924.66488296288708</v>
      </c>
      <c r="CD97" s="59">
        <f ca="1">AVERAGE(OFFSET($CC$3,0,0,'Données projet'!$E$12+1,1))-AVERAGE(OFFSET($H$3,0,0,'Données projet'!$E$12+1,1))</f>
        <v>507.79096804746297</v>
      </c>
      <c r="CE97" s="59">
        <f t="shared" si="94"/>
        <v>312.67921212138998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44.03959969550742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44.03959969550742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318.97291652986593</v>
      </c>
      <c r="T98" s="59">
        <f t="shared" si="88"/>
        <v>338.19413170988122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9">
        <f t="shared" si="59"/>
        <v>293.33333333334014</v>
      </c>
      <c r="AN98" s="59">
        <f ca="1">AVERAGE(OFFSET($AM$3,0,0,'Données projet'!$E$10+1,1))-AVERAGE(OFFSET($H$3,0,0,'Données projet'!$E$10+1,1))</f>
        <v>318.97291652986593</v>
      </c>
      <c r="AO98" s="59">
        <f t="shared" si="90"/>
        <v>338.19413170988122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8.1034347929427675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6.6448728908532172E-9</v>
      </c>
      <c r="AX98" s="21">
        <f t="shared" si="60"/>
        <v>8.1034347995876406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2.0572770154103635E-13</v>
      </c>
      <c r="BF98" s="13">
        <f t="shared" si="91"/>
        <v>2.8416956338469711E-12</v>
      </c>
      <c r="BG98" s="20">
        <f t="shared" si="61"/>
        <v>5.3075956424674458E-12</v>
      </c>
      <c r="BH98" s="59">
        <f t="shared" si="62"/>
        <v>293.3333333333386</v>
      </c>
      <c r="BI98" s="59">
        <f ca="1">AVERAGE(OFFSET($BH$3,0,0,'Données projet'!$E$11+1,1))-AVERAGE(OFFSET($H$3,0,0,'Données projet'!$E$11+1,1))</f>
        <v>436.23918637269577</v>
      </c>
      <c r="BJ98" s="59">
        <f t="shared" si="92"/>
        <v>611.43967996341894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4.1408661861936595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4.1408661861936595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5.9</v>
      </c>
      <c r="BY98" s="12">
        <f>IF('Données projet'!$A$114&gt;35,BY97+BX98-CG97,IF(A98&lt;'Données projet'!$A$114,$BV$205^A98,IF(A98='Données projet'!$A$114,'Données projet'!$B$114,BY97+BX98-CG97)))</f>
        <v>353.49999999999989</v>
      </c>
      <c r="BZ98" s="13">
        <f>BY98*VLOOKUP('Données projet'!$B$12,Paramètres!$A$1:$I$89,3,0)*VLOOKUP('Données projet'!$B$12,Paramètres!$A$1:$I$89,5,0)</f>
        <v>297.78839999999997</v>
      </c>
      <c r="CA98" s="13">
        <f t="shared" si="93"/>
        <v>70.71262769599339</v>
      </c>
      <c r="CB98" s="20">
        <f t="shared" si="64"/>
        <v>641.80595657052174</v>
      </c>
      <c r="CC98" s="59">
        <f t="shared" si="65"/>
        <v>935.13928990385511</v>
      </c>
      <c r="CD98" s="59">
        <f ca="1">AVERAGE(OFFSET($CC$3,0,0,'Données projet'!$E$12+1,1))-AVERAGE(OFFSET($H$3,0,0,'Données projet'!$E$12+1,1))</f>
        <v>507.79096804746297</v>
      </c>
      <c r="CE98" s="59">
        <f t="shared" si="94"/>
        <v>312.67921212138998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43.176010006981983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43.176010006981983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318.97291652986593</v>
      </c>
      <c r="T99" s="59">
        <f t="shared" si="88"/>
        <v>338.19413170988122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9">
        <f t="shared" si="59"/>
        <v>293.33333333334014</v>
      </c>
      <c r="AN99" s="59">
        <f ca="1">AVERAGE(OFFSET($AM$3,0,0,'Données projet'!$E$10+1,1))-AVERAGE(OFFSET($H$3,0,0,'Données projet'!$E$10+1,1))</f>
        <v>318.97291652986593</v>
      </c>
      <c r="AO99" s="59">
        <f t="shared" si="90"/>
        <v>338.19413170988122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7.9445313792603418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4.6986346812449673E-9</v>
      </c>
      <c r="AX99" s="21">
        <f t="shared" si="60"/>
        <v>7.9445313839589762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2.0572770154103635E-13</v>
      </c>
      <c r="BF99" s="13">
        <f t="shared" si="91"/>
        <v>2.8416956338469711E-12</v>
      </c>
      <c r="BG99" s="20">
        <f t="shared" si="61"/>
        <v>5.3075956424674458E-12</v>
      </c>
      <c r="BH99" s="59">
        <f t="shared" si="62"/>
        <v>293.3333333333386</v>
      </c>
      <c r="BI99" s="59">
        <f ca="1">AVERAGE(OFFSET($BH$3,0,0,'Données projet'!$E$11+1,1))-AVERAGE(OFFSET($H$3,0,0,'Données projet'!$E$11+1,1))</f>
        <v>436.23918637269577</v>
      </c>
      <c r="BJ99" s="59">
        <f t="shared" si="92"/>
        <v>611.43967996341894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4.059666325961385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4.059666325961385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5.9</v>
      </c>
      <c r="BY99" s="12">
        <f>IF('Données projet'!$A$114&gt;35,BY98+BX99-CG98,IF(A99&lt;'Données projet'!$A$114,$BV$205^A99,IF(A99='Données projet'!$A$114,'Données projet'!$B$114,BY98+BX99-CG98)))</f>
        <v>359.39999999999986</v>
      </c>
      <c r="BZ99" s="13">
        <f>BY99*VLOOKUP('Données projet'!$B$12,Paramètres!$A$1:$I$89,3,0)*VLOOKUP('Données projet'!$B$12,Paramètres!$A$1:$I$89,5,0)</f>
        <v>302.75855999999993</v>
      </c>
      <c r="CA99" s="13">
        <f t="shared" si="93"/>
        <v>71.75445517955734</v>
      </c>
      <c r="CB99" s="20">
        <f t="shared" si="64"/>
        <v>652.27683477106223</v>
      </c>
      <c r="CC99" s="59">
        <f t="shared" si="65"/>
        <v>945.6101681043956</v>
      </c>
      <c r="CD99" s="59">
        <f ca="1">AVERAGE(OFFSET($CC$3,0,0,'Données projet'!$E$12+1,1))-AVERAGE(OFFSET($H$3,0,0,'Données projet'!$E$12+1,1))</f>
        <v>507.79096804746297</v>
      </c>
      <c r="CE99" s="59">
        <f t="shared" si="94"/>
        <v>312.67921212138998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42.32935478551083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42.32935478551083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318.97291652986593</v>
      </c>
      <c r="T100" s="59">
        <f t="shared" si="88"/>
        <v>338.19413170988122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9">
        <f t="shared" si="59"/>
        <v>293.33333333334014</v>
      </c>
      <c r="AN100" s="59">
        <f ca="1">AVERAGE(OFFSET($AM$3,0,0,'Données projet'!$E$10+1,1))-AVERAGE(OFFSET($H$3,0,0,'Données projet'!$E$10+1,1))</f>
        <v>318.97291652986593</v>
      </c>
      <c r="AO100" s="59">
        <f t="shared" si="90"/>
        <v>338.19413170988122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7.7887439645987158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3.3224364454266086E-9</v>
      </c>
      <c r="AX100" s="21">
        <f t="shared" si="60"/>
        <v>7.7887439679211523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2.0572770154103635E-13</v>
      </c>
      <c r="BF100" s="13">
        <f t="shared" si="91"/>
        <v>2.8416956338469711E-12</v>
      </c>
      <c r="BG100" s="20">
        <f t="shared" si="61"/>
        <v>5.3075956424674458E-12</v>
      </c>
      <c r="BH100" s="59">
        <f t="shared" si="62"/>
        <v>293.3333333333386</v>
      </c>
      <c r="BI100" s="59">
        <f ca="1">AVERAGE(OFFSET($BH$3,0,0,'Données projet'!$E$11+1,1))-AVERAGE(OFFSET($H$3,0,0,'Données projet'!$E$11+1,1))</f>
        <v>436.23918637269577</v>
      </c>
      <c r="BJ100" s="59">
        <f t="shared" si="92"/>
        <v>611.43967996341894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3.9800587454612413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3.9800587454612413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5.9</v>
      </c>
      <c r="BY100" s="12">
        <f>IF('Données projet'!$A$114&gt;35,BY99+BX100-CG99,IF(A100&lt;'Données projet'!$A$114,$BV$205^A100,IF(A100='Données projet'!$A$114,'Données projet'!$B$114,BY99+BX100-CG99)))</f>
        <v>365.29999999999984</v>
      </c>
      <c r="BZ100" s="13">
        <f>BY100*VLOOKUP('Données projet'!$B$12,Paramètres!$A$1:$I$89,3,0)*VLOOKUP('Données projet'!$B$12,Paramètres!$A$1:$I$89,5,0)</f>
        <v>307.7287199999999</v>
      </c>
      <c r="CA100" s="13">
        <f t="shared" si="93"/>
        <v>72.794293691974175</v>
      </c>
      <c r="CB100" s="20">
        <f t="shared" si="64"/>
        <v>662.74424884685482</v>
      </c>
      <c r="CC100" s="59">
        <f t="shared" si="65"/>
        <v>956.07758218018807</v>
      </c>
      <c r="CD100" s="59">
        <f ca="1">AVERAGE(OFFSET($CC$3,0,0,'Données projet'!$E$12+1,1))-AVERAGE(OFFSET($H$3,0,0,'Données projet'!$E$12+1,1))</f>
        <v>507.79096804746297</v>
      </c>
      <c r="CE100" s="59">
        <f t="shared" si="94"/>
        <v>312.67921212138998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41.499301956524029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41.499301956524029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318.97291652986593</v>
      </c>
      <c r="T101" s="59">
        <f t="shared" si="88"/>
        <v>338.19413170988122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9">
        <f t="shared" si="59"/>
        <v>293.33333333334014</v>
      </c>
      <c r="AN101" s="59">
        <f ca="1">AVERAGE(OFFSET($AM$3,0,0,'Données projet'!$E$10+1,1))-AVERAGE(OFFSET($H$3,0,0,'Données projet'!$E$10+1,1))</f>
        <v>318.97291652986593</v>
      </c>
      <c r="AO101" s="59">
        <f t="shared" si="90"/>
        <v>338.19413170988122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7.6360114461176645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2.3493173406224837E-9</v>
      </c>
      <c r="AX101" s="21">
        <f t="shared" si="60"/>
        <v>7.6360114484669817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2.0572770154103635E-13</v>
      </c>
      <c r="BF101" s="13">
        <f t="shared" si="91"/>
        <v>2.8416956338469711E-12</v>
      </c>
      <c r="BG101" s="20">
        <f t="shared" si="61"/>
        <v>5.3075956424674458E-12</v>
      </c>
      <c r="BH101" s="59">
        <f t="shared" si="62"/>
        <v>293.3333333333386</v>
      </c>
      <c r="BI101" s="59">
        <f ca="1">AVERAGE(OFFSET($BH$3,0,0,'Données projet'!$E$11+1,1))-AVERAGE(OFFSET($H$3,0,0,'Données projet'!$E$11+1,1))</f>
        <v>436.23918637269577</v>
      </c>
      <c r="BJ101" s="59">
        <f t="shared" si="92"/>
        <v>611.43967996341894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3.9020122210588757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3.9020122210588757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5.9</v>
      </c>
      <c r="BY101" s="12">
        <f>IF('Données projet'!$A$114&gt;35,BY100+BX101-CG100,IF(A101&lt;'Données projet'!$A$114,$BV$205^A101,IF(A101='Données projet'!$A$114,'Données projet'!$B$114,BY100+BX101-CG100)))</f>
        <v>371.19999999999982</v>
      </c>
      <c r="BZ101" s="13">
        <f>BY101*VLOOKUP('Données projet'!$B$12,Paramètres!$A$1:$I$89,3,0)*VLOOKUP('Données projet'!$B$12,Paramètres!$A$1:$I$89,5,0)</f>
        <v>312.69887999999992</v>
      </c>
      <c r="CA101" s="13">
        <f t="shared" si="93"/>
        <v>73.832179066025233</v>
      </c>
      <c r="CB101" s="20">
        <f t="shared" si="64"/>
        <v>673.20826120666038</v>
      </c>
      <c r="CC101" s="59">
        <f t="shared" si="65"/>
        <v>966.54159453999364</v>
      </c>
      <c r="CD101" s="59">
        <f ca="1">AVERAGE(OFFSET($CC$3,0,0,'Données projet'!$E$12+1,1))-AVERAGE(OFFSET($H$3,0,0,'Données projet'!$E$12+1,1))</f>
        <v>507.79096804746297</v>
      </c>
      <c r="CE101" s="59">
        <f t="shared" si="94"/>
        <v>312.67921212138998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40.685525957231427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40.685525957231427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318.97291652986593</v>
      </c>
      <c r="T102" s="59">
        <f t="shared" si="88"/>
        <v>338.19413170988122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9">
        <f t="shared" si="59"/>
        <v>293.33333333334014</v>
      </c>
      <c r="AN102" s="59">
        <f ca="1">AVERAGE(OFFSET($AM$3,0,0,'Données projet'!$E$10+1,1))-AVERAGE(OFFSET($H$3,0,0,'Données projet'!$E$10+1,1))</f>
        <v>318.97291652986593</v>
      </c>
      <c r="AO102" s="59">
        <f t="shared" si="90"/>
        <v>338.19413170988122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7.486273919166389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1.6612182227133043E-9</v>
      </c>
      <c r="AX102" s="21">
        <f t="shared" si="60"/>
        <v>7.4862739208276068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2.0572770154103635E-13</v>
      </c>
      <c r="BF102" s="13">
        <f t="shared" si="91"/>
        <v>2.8416956338469711E-12</v>
      </c>
      <c r="BG102" s="20">
        <f t="shared" si="61"/>
        <v>5.3075956424674458E-12</v>
      </c>
      <c r="BH102" s="59">
        <f t="shared" si="62"/>
        <v>293.3333333333386</v>
      </c>
      <c r="BI102" s="59">
        <f ca="1">AVERAGE(OFFSET($BH$3,0,0,'Données projet'!$E$11+1,1))-AVERAGE(OFFSET($H$3,0,0,'Données projet'!$E$11+1,1))</f>
        <v>436.23918637269577</v>
      </c>
      <c r="BJ102" s="59">
        <f t="shared" si="92"/>
        <v>611.43967996341894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3.8254961413963611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3.8254961413963611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5.9</v>
      </c>
      <c r="BY102" s="12">
        <f>IF('Données projet'!$A$114&gt;35,BY101+BX102-CG101,IF(A102&lt;'Données projet'!$A$114,$BV$205^A102,IF(A102='Données projet'!$A$114,'Données projet'!$B$114,BY101+BX102-CG101)))</f>
        <v>377.0999999999998</v>
      </c>
      <c r="BZ102" s="13">
        <f>BY102*VLOOKUP('Données projet'!$B$12,Paramètres!$A$1:$I$89,3,0)*VLOOKUP('Données projet'!$B$12,Paramètres!$A$1:$I$89,5,0)</f>
        <v>317.66903999999988</v>
      </c>
      <c r="CA102" s="13">
        <f t="shared" si="93"/>
        <v>74.868145930079521</v>
      </c>
      <c r="CB102" s="20">
        <f t="shared" si="64"/>
        <v>683.66893216155495</v>
      </c>
      <c r="CC102" s="59">
        <f t="shared" si="65"/>
        <v>977.00226549488821</v>
      </c>
      <c r="CD102" s="59">
        <f ca="1">AVERAGE(OFFSET($CC$3,0,0,'Données projet'!$E$12+1,1))-AVERAGE(OFFSET($H$3,0,0,'Données projet'!$E$12+1,1))</f>
        <v>507.79096804746297</v>
      </c>
      <c r="CE102" s="59">
        <f t="shared" si="94"/>
        <v>312.67921212138998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39.887707608930604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39.887707608930604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318.97291652986593</v>
      </c>
      <c r="T103" s="59">
        <f t="shared" si="88"/>
        <v>338.19413170988122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9">
        <f t="shared" si="59"/>
        <v>293.33333333334014</v>
      </c>
      <c r="AN103" s="59">
        <f ca="1">AVERAGE(OFFSET($AM$3,0,0,'Données projet'!$E$10+1,1))-AVERAGE(OFFSET($H$3,0,0,'Données projet'!$E$10+1,1))</f>
        <v>318.97291652986593</v>
      </c>
      <c r="AO103" s="59">
        <f t="shared" si="90"/>
        <v>338.19413170988122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7.3394726537877544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1.1746586703112418E-9</v>
      </c>
      <c r="AX103" s="21">
        <f t="shared" si="60"/>
        <v>7.339472654962413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2.0572770154103635E-13</v>
      </c>
      <c r="BF103" s="13">
        <f t="shared" si="91"/>
        <v>2.8416956338469711E-12</v>
      </c>
      <c r="BG103" s="20">
        <f t="shared" si="61"/>
        <v>5.3075956424674458E-12</v>
      </c>
      <c r="BH103" s="59">
        <f t="shared" si="62"/>
        <v>293.3333333333386</v>
      </c>
      <c r="BI103" s="59">
        <f ca="1">AVERAGE(OFFSET($BH$3,0,0,'Données projet'!$E$11+1,1))-AVERAGE(OFFSET($H$3,0,0,'Données projet'!$E$11+1,1))</f>
        <v>436.23918637269577</v>
      </c>
      <c r="BJ103" s="59">
        <f t="shared" si="92"/>
        <v>611.43967996341894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3.7504804953858284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3.7504804953858284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383</v>
      </c>
      <c r="BW103" s="12">
        <f>VLOOKUP(A103,'Données projet'!$A$113:$I$133,9,0)</f>
        <v>5.9</v>
      </c>
      <c r="BX103" s="12">
        <f t="array" ref="BX103">INDEX(BW:BW,MIN(IF(ISNUMBER(BW103:BW299),ROW(BW103:BW299),"")))</f>
        <v>5.9</v>
      </c>
      <c r="BY103" s="12">
        <f>IF('Données projet'!$A$114&gt;35,BY102+BX103-CG102,IF(A103&lt;'Données projet'!$A$114,$BV$205^A103,IF(A103='Données projet'!$A$114,'Données projet'!$B$114,BY102+BX103-CG102)))</f>
        <v>382.99999999999977</v>
      </c>
      <c r="BZ103" s="13">
        <f>BY103*VLOOKUP('Données projet'!$B$12,Paramètres!$A$1:$I$89,3,0)*VLOOKUP('Données projet'!$B$12,Paramètres!$A$1:$I$89,5,0)</f>
        <v>322.63919999999985</v>
      </c>
      <c r="CA103" s="13">
        <f t="shared" si="93"/>
        <v>75.902227766774701</v>
      </c>
      <c r="CB103" s="20">
        <f t="shared" si="64"/>
        <v>694.12632002713235</v>
      </c>
      <c r="CC103" s="59">
        <f t="shared" si="65"/>
        <v>987.45965336046561</v>
      </c>
      <c r="CD103" s="59">
        <f ca="1">AVERAGE(OFFSET($CC$3,0,0,'Données projet'!$E$12+1,1))-AVERAGE(OFFSET($H$3,0,0,'Données projet'!$E$12+1,1))</f>
        <v>507.79096804746297</v>
      </c>
      <c r="CE103" s="59">
        <f t="shared" si="94"/>
        <v>312.67921212138998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55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39.105533991818817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39.105533991818817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318.97291652986593</v>
      </c>
      <c r="T104" s="59">
        <f t="shared" si="88"/>
        <v>338.19413170988122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9">
        <f t="shared" si="59"/>
        <v>293.33333333334014</v>
      </c>
      <c r="AN104" s="59">
        <f ca="1">AVERAGE(OFFSET($AM$3,0,0,'Données projet'!$E$10+1,1))-AVERAGE(OFFSET($H$3,0,0,'Données projet'!$E$10+1,1))</f>
        <v>318.97291652986593</v>
      </c>
      <c r="AO104" s="59">
        <f t="shared" si="90"/>
        <v>338.19413170988122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7.1955500716832645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8.3060911135665215E-10</v>
      </c>
      <c r="AX104" s="21">
        <f t="shared" si="60"/>
        <v>7.1955500725138739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2.0572770154103635E-13</v>
      </c>
      <c r="BF104" s="13">
        <f t="shared" si="91"/>
        <v>2.8416956338469711E-12</v>
      </c>
      <c r="BG104" s="20">
        <f t="shared" si="61"/>
        <v>5.3075956424674458E-12</v>
      </c>
      <c r="BH104" s="59">
        <f t="shared" si="62"/>
        <v>293.3333333333386</v>
      </c>
      <c r="BI104" s="59">
        <f ca="1">AVERAGE(OFFSET($BH$3,0,0,'Données projet'!$E$11+1,1))-AVERAGE(OFFSET($H$3,0,0,'Données projet'!$E$11+1,1))</f>
        <v>436.23918637269577</v>
      </c>
      <c r="BJ104" s="59">
        <f t="shared" si="92"/>
        <v>611.43967996341894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3.6769358604385358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3.6769358604385358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333.19999999999976</v>
      </c>
      <c r="BZ104" s="13">
        <f>BY104*VLOOKUP('Données projet'!$B$12,Paramètres!$A$1:$I$89,3,0)*VLOOKUP('Données projet'!$B$12,Paramètres!$A$1:$I$89,5,0)</f>
        <v>280.68767999999983</v>
      </c>
      <c r="CA104" s="13">
        <f t="shared" si="93"/>
        <v>67.11231467966806</v>
      </c>
      <c r="CB104" s="20">
        <f t="shared" si="64"/>
        <v>605.75165740042155</v>
      </c>
      <c r="CC104" s="59">
        <f t="shared" si="65"/>
        <v>899.08499073375492</v>
      </c>
      <c r="CD104" s="59">
        <f ca="1">AVERAGE(OFFSET($CC$3,0,0,'Données projet'!$E$12+1,1))-AVERAGE(OFFSET($H$3,0,0,'Données projet'!$E$12+1,1))</f>
        <v>507.79096804746297</v>
      </c>
      <c r="CE104" s="59">
        <f t="shared" si="94"/>
        <v>312.67921212138998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38.338698322259795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38.338698322259795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318.97291652986593</v>
      </c>
      <c r="T105" s="59">
        <f t="shared" si="88"/>
        <v>338.19413170988122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9">
        <f t="shared" si="59"/>
        <v>293.33333333334014</v>
      </c>
      <c r="AN105" s="59">
        <f ca="1">AVERAGE(OFFSET($AM$3,0,0,'Données projet'!$E$10+1,1))-AVERAGE(OFFSET($H$3,0,0,'Données projet'!$E$10+1,1))</f>
        <v>318.97291652986593</v>
      </c>
      <c r="AO105" s="59">
        <f t="shared" si="90"/>
        <v>338.19413170988122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7.0544497236297365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5.8732933515562091E-10</v>
      </c>
      <c r="AX105" s="21">
        <f t="shared" si="60"/>
        <v>7.0544497242170658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2.0572770154103635E-13</v>
      </c>
      <c r="BF105" s="13">
        <f t="shared" si="91"/>
        <v>2.8416956338469711E-12</v>
      </c>
      <c r="BG105" s="20">
        <f t="shared" si="61"/>
        <v>5.3075956424674458E-12</v>
      </c>
      <c r="BH105" s="59">
        <f t="shared" si="62"/>
        <v>293.3333333333386</v>
      </c>
      <c r="BI105" s="59">
        <f ca="1">AVERAGE(OFFSET($BH$3,0,0,'Données projet'!$E$11+1,1))-AVERAGE(OFFSET($H$3,0,0,'Données projet'!$E$11+1,1))</f>
        <v>436.23918637269577</v>
      </c>
      <c r="BJ105" s="59">
        <f t="shared" si="92"/>
        <v>611.43967996341894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3.6048333909247616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3.6048333909247616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338.39999999999975</v>
      </c>
      <c r="BZ105" s="13">
        <f>BY105*VLOOKUP('Données projet'!$B$12,Paramètres!$A$1:$I$89,3,0)*VLOOKUP('Données projet'!$B$12,Paramètres!$A$1:$I$89,5,0)</f>
        <v>285.06815999999981</v>
      </c>
      <c r="CA105" s="13">
        <f t="shared" si="93"/>
        <v>68.036936010615804</v>
      </c>
      <c r="CB105" s="20">
        <f t="shared" si="64"/>
        <v>614.99137555182222</v>
      </c>
      <c r="CC105" s="59">
        <f t="shared" si="65"/>
        <v>908.32470888515559</v>
      </c>
      <c r="CD105" s="59">
        <f ca="1">AVERAGE(OFFSET($CC$3,0,0,'Données projet'!$E$12+1,1))-AVERAGE(OFFSET($H$3,0,0,'Données projet'!$E$12+1,1))</f>
        <v>507.79096804746297</v>
      </c>
      <c r="CE105" s="59">
        <f t="shared" si="94"/>
        <v>312.67921212138998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37.586899832457249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37.586899832457249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318.97291652986593</v>
      </c>
      <c r="T106" s="59">
        <f t="shared" si="88"/>
        <v>338.19413170988122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9">
        <f t="shared" si="59"/>
        <v>293.33333333334014</v>
      </c>
      <c r="AN106" s="59">
        <f ca="1">AVERAGE(OFFSET($AM$3,0,0,'Données projet'!$E$10+1,1))-AVERAGE(OFFSET($H$3,0,0,'Données projet'!$E$10+1,1))</f>
        <v>318.97291652986593</v>
      </c>
      <c r="AO106" s="59">
        <f t="shared" si="90"/>
        <v>338.19413170988122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6.9161162673388237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4.1530455567832608E-10</v>
      </c>
      <c r="AX106" s="21">
        <f t="shared" si="60"/>
        <v>6.9161162677541279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2.0572770154103635E-13</v>
      </c>
      <c r="BF106" s="13">
        <f t="shared" si="91"/>
        <v>2.8416956338469711E-12</v>
      </c>
      <c r="BG106" s="20">
        <f t="shared" si="61"/>
        <v>5.3075956424674458E-12</v>
      </c>
      <c r="BH106" s="59">
        <f t="shared" si="62"/>
        <v>293.3333333333386</v>
      </c>
      <c r="BI106" s="59">
        <f ca="1">AVERAGE(OFFSET($BH$3,0,0,'Données projet'!$E$11+1,1))-AVERAGE(OFFSET($H$3,0,0,'Données projet'!$E$11+1,1))</f>
        <v>436.23918637269577</v>
      </c>
      <c r="BJ106" s="59">
        <f t="shared" si="92"/>
        <v>611.43967996341894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3.534144806859989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3.534144806859989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343.59999999999974</v>
      </c>
      <c r="BZ106" s="13">
        <f>BY106*VLOOKUP('Données projet'!$B$12,Paramètres!$A$1:$I$89,3,0)*VLOOKUP('Données projet'!$B$12,Paramètres!$A$1:$I$89,5,0)</f>
        <v>289.44863999999978</v>
      </c>
      <c r="CA106" s="13">
        <f t="shared" si="93"/>
        <v>68.959904924746269</v>
      </c>
      <c r="CB106" s="20">
        <f t="shared" si="64"/>
        <v>624.22821574393265</v>
      </c>
      <c r="CC106" s="59">
        <f t="shared" si="65"/>
        <v>917.56154907726591</v>
      </c>
      <c r="CD106" s="59">
        <f ca="1">AVERAGE(OFFSET($CC$3,0,0,'Données projet'!$E$12+1,1))-AVERAGE(OFFSET($H$3,0,0,'Données projet'!$E$12+1,1))</f>
        <v>507.79096804746297</v>
      </c>
      <c r="CE106" s="59">
        <f t="shared" si="94"/>
        <v>312.67921212138998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36.849843652487934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36.849843652487934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318.97291652986593</v>
      </c>
      <c r="T107" s="59">
        <f t="shared" si="88"/>
        <v>338.19413170988122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9">
        <f t="shared" si="59"/>
        <v>293.33333333334014</v>
      </c>
      <c r="AN107" s="59">
        <f ca="1">AVERAGE(OFFSET($AM$3,0,0,'Données projet'!$E$10+1,1))-AVERAGE(OFFSET($H$3,0,0,'Données projet'!$E$10+1,1))</f>
        <v>318.97291652986593</v>
      </c>
      <c r="AO107" s="59">
        <f t="shared" si="90"/>
        <v>338.19413170988122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6.7804954457506987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2.9366466757781046E-10</v>
      </c>
      <c r="AX107" s="21">
        <f t="shared" si="60"/>
        <v>6.7804954460443634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2.0572770154103635E-13</v>
      </c>
      <c r="BF107" s="13">
        <f t="shared" si="91"/>
        <v>2.8416956338469711E-12</v>
      </c>
      <c r="BG107" s="20">
        <f t="shared" si="61"/>
        <v>5.3075956424674458E-12</v>
      </c>
      <c r="BH107" s="59">
        <f t="shared" si="62"/>
        <v>293.3333333333386</v>
      </c>
      <c r="BI107" s="59">
        <f ca="1">AVERAGE(OFFSET($BH$3,0,0,'Données projet'!$E$11+1,1))-AVERAGE(OFFSET($H$3,0,0,'Données projet'!$E$11+1,1))</f>
        <v>436.23918637269577</v>
      </c>
      <c r="BJ107" s="59">
        <f t="shared" si="92"/>
        <v>611.43967996341894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3.4648423828129475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3.4648423828129475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348.79999999999973</v>
      </c>
      <c r="BZ107" s="13">
        <f>BY107*VLOOKUP('Données projet'!$B$12,Paramètres!$A$1:$I$89,3,0)*VLOOKUP('Données projet'!$B$12,Paramètres!$A$1:$I$89,5,0)</f>
        <v>293.82911999999982</v>
      </c>
      <c r="CA107" s="13">
        <f t="shared" si="93"/>
        <v>69.881249317970031</v>
      </c>
      <c r="CB107" s="20">
        <f t="shared" si="64"/>
        <v>633.4622265621307</v>
      </c>
      <c r="CC107" s="59">
        <f t="shared" si="65"/>
        <v>926.79555989546407</v>
      </c>
      <c r="CD107" s="59">
        <f ca="1">AVERAGE(OFFSET($CC$3,0,0,'Données projet'!$E$12+1,1))-AVERAGE(OFFSET($H$3,0,0,'Données projet'!$E$12+1,1))</f>
        <v>507.79096804746297</v>
      </c>
      <c r="CE107" s="59">
        <f t="shared" si="94"/>
        <v>312.67921212138998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36.127240694647938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36.127240694647938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318.97291652986593</v>
      </c>
      <c r="T108" s="59">
        <f t="shared" si="88"/>
        <v>338.19413170988122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9">
        <f t="shared" si="59"/>
        <v>293.33333333334014</v>
      </c>
      <c r="AN108" s="59">
        <f ca="1">AVERAGE(OFFSET($AM$3,0,0,'Données projet'!$E$10+1,1))-AVERAGE(OFFSET($H$3,0,0,'Données projet'!$E$10+1,1))</f>
        <v>318.97291652986593</v>
      </c>
      <c r="AO108" s="59">
        <f t="shared" si="90"/>
        <v>338.19413170988122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6.6475340657533835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2.0765227783916304E-10</v>
      </c>
      <c r="AX108" s="21">
        <f t="shared" si="60"/>
        <v>6.647534065961036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2.0572770154103635E-13</v>
      </c>
      <c r="BF108" s="13">
        <f t="shared" si="91"/>
        <v>2.8416956338469711E-12</v>
      </c>
      <c r="BG108" s="20">
        <f t="shared" si="61"/>
        <v>5.3075956424674458E-12</v>
      </c>
      <c r="BH108" s="59">
        <f t="shared" si="62"/>
        <v>293.3333333333386</v>
      </c>
      <c r="BI108" s="59">
        <f ca="1">AVERAGE(OFFSET($BH$3,0,0,'Données projet'!$E$11+1,1))-AVERAGE(OFFSET($H$3,0,0,'Données projet'!$E$11+1,1))</f>
        <v>436.23918637269577</v>
      </c>
      <c r="BJ108" s="59">
        <f t="shared" si="92"/>
        <v>611.43967996341894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3.3968989370311635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3.3968989370311635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353.99999999999972</v>
      </c>
      <c r="BZ108" s="13">
        <f>BY108*VLOOKUP('Données projet'!$B$12,Paramètres!$A$1:$I$89,3,0)*VLOOKUP('Données projet'!$B$12,Paramètres!$A$1:$I$89,5,0)</f>
        <v>298.2095999999998</v>
      </c>
      <c r="CA108" s="13">
        <f t="shared" si="93"/>
        <v>70.80099620669624</v>
      </c>
      <c r="CB108" s="20">
        <f t="shared" si="64"/>
        <v>642.69345505999547</v>
      </c>
      <c r="CC108" s="59">
        <f t="shared" si="65"/>
        <v>936.02678839332884</v>
      </c>
      <c r="CD108" s="59">
        <f ca="1">AVERAGE(OFFSET($CC$3,0,0,'Données projet'!$E$12+1,1))-AVERAGE(OFFSET($H$3,0,0,'Données projet'!$E$12+1,1))</f>
        <v>507.79096804746297</v>
      </c>
      <c r="CE108" s="59">
        <f t="shared" si="94"/>
        <v>312.67921212138998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35.418807540066894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35.418807540066894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318.97291652986593</v>
      </c>
      <c r="T109" s="59">
        <f t="shared" si="88"/>
        <v>338.19413170988122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9">
        <f t="shared" si="59"/>
        <v>293.33333333334014</v>
      </c>
      <c r="AN109" s="59">
        <f ca="1">AVERAGE(OFFSET($AM$3,0,0,'Données projet'!$E$10+1,1))-AVERAGE(OFFSET($H$3,0,0,'Données projet'!$E$10+1,1))</f>
        <v>318.97291652986593</v>
      </c>
      <c r="AO109" s="59">
        <f t="shared" si="90"/>
        <v>338.19413170988122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6.5171799773193815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1.4683233378890523E-10</v>
      </c>
      <c r="AX109" s="21">
        <f t="shared" si="60"/>
        <v>6.5171799774662142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2.0572770154103635E-13</v>
      </c>
      <c r="BF109" s="13">
        <f t="shared" si="91"/>
        <v>2.8416956338469711E-12</v>
      </c>
      <c r="BG109" s="20">
        <f t="shared" si="61"/>
        <v>5.3075956424674458E-12</v>
      </c>
      <c r="BH109" s="59">
        <f t="shared" si="62"/>
        <v>293.3333333333386</v>
      </c>
      <c r="BI109" s="59">
        <f ca="1">AVERAGE(OFFSET($BH$3,0,0,'Données projet'!$E$11+1,1))-AVERAGE(OFFSET($H$3,0,0,'Données projet'!$E$11+1,1))</f>
        <v>436.23918637269577</v>
      </c>
      <c r="BJ109" s="59">
        <f t="shared" si="92"/>
        <v>611.43967996341894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3.3302878207797506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3.3302878207797506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359.1999999999997</v>
      </c>
      <c r="BZ109" s="13">
        <f>BY109*VLOOKUP('Données projet'!$B$12,Paramètres!$A$1:$I$89,3,0)*VLOOKUP('Données projet'!$B$12,Paramètres!$A$1:$I$89,5,0)</f>
        <v>302.59007999999977</v>
      </c>
      <c r="CA109" s="13">
        <f t="shared" si="93"/>
        <v>71.719171768065962</v>
      </c>
      <c r="CB109" s="20">
        <f t="shared" si="64"/>
        <v>651.92194682938123</v>
      </c>
      <c r="CC109" s="59">
        <f t="shared" si="65"/>
        <v>945.2552801627146</v>
      </c>
      <c r="CD109" s="59">
        <f ca="1">AVERAGE(OFFSET($CC$3,0,0,'Données projet'!$E$12+1,1))-AVERAGE(OFFSET($H$3,0,0,'Données projet'!$E$12+1,1))</f>
        <v>507.79096804746297</v>
      </c>
      <c r="CE109" s="59">
        <f t="shared" si="94"/>
        <v>312.67921212138998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34.724266327545628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34.724266327545628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318.97291652986593</v>
      </c>
      <c r="T110" s="59">
        <f t="shared" si="88"/>
        <v>338.19413170988122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9">
        <f t="shared" si="59"/>
        <v>293.33333333334014</v>
      </c>
      <c r="AN110" s="59">
        <f ca="1">AVERAGE(OFFSET($AM$3,0,0,'Données projet'!$E$10+1,1))-AVERAGE(OFFSET($H$3,0,0,'Données projet'!$E$10+1,1))</f>
        <v>318.97291652986593</v>
      </c>
      <c r="AO110" s="59">
        <f t="shared" si="90"/>
        <v>338.19413170988122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6.3893820530514276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1.0382613891958152E-10</v>
      </c>
      <c r="AX110" s="21">
        <f t="shared" si="60"/>
        <v>6.3893820531552539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2.0572770154103635E-13</v>
      </c>
      <c r="BF110" s="13">
        <f t="shared" si="91"/>
        <v>2.8416956338469711E-12</v>
      </c>
      <c r="BG110" s="20">
        <f t="shared" si="61"/>
        <v>5.3075956424674458E-12</v>
      </c>
      <c r="BH110" s="59">
        <f t="shared" si="62"/>
        <v>293.3333333333386</v>
      </c>
      <c r="BI110" s="59">
        <f ca="1">AVERAGE(OFFSET($BH$3,0,0,'Données projet'!$E$11+1,1))-AVERAGE(OFFSET($H$3,0,0,'Données projet'!$E$11+1,1))</f>
        <v>436.23918637269577</v>
      </c>
      <c r="BJ110" s="59">
        <f t="shared" si="92"/>
        <v>611.43967996341894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3.2649829078892587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3.2649829078892587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364.39999999999969</v>
      </c>
      <c r="BZ110" s="13">
        <f>BY110*VLOOKUP('Données projet'!$B$12,Paramètres!$A$1:$I$89,3,0)*VLOOKUP('Données projet'!$B$12,Paramètres!$A$1:$I$89,5,0)</f>
        <v>306.97055999999975</v>
      </c>
      <c r="CA110" s="13">
        <f t="shared" si="93"/>
        <v>72.635801377788624</v>
      </c>
      <c r="CB110" s="20">
        <f t="shared" si="64"/>
        <v>661.14774606631465</v>
      </c>
      <c r="CC110" s="59">
        <f t="shared" si="65"/>
        <v>954.48107939964802</v>
      </c>
      <c r="CD110" s="59">
        <f ca="1">AVERAGE(OFFSET($CC$3,0,0,'Données projet'!$E$12+1,1))-AVERAGE(OFFSET($H$3,0,0,'Données projet'!$E$12+1,1))</f>
        <v>507.79096804746297</v>
      </c>
      <c r="CE110" s="59">
        <f t="shared" si="94"/>
        <v>312.67921212138998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34.043344644573594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34.043344644573594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318.97291652986593</v>
      </c>
      <c r="T111" s="59">
        <f t="shared" si="88"/>
        <v>338.19413170988122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9">
        <f t="shared" si="59"/>
        <v>293.33333333334014</v>
      </c>
      <c r="AN111" s="59">
        <f ca="1">AVERAGE(OFFSET($AM$3,0,0,'Données projet'!$E$10+1,1))-AVERAGE(OFFSET($H$3,0,0,'Données projet'!$E$10+1,1))</f>
        <v>318.97291652986593</v>
      </c>
      <c r="AO111" s="59">
        <f t="shared" si="90"/>
        <v>338.19413170988122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6.2640901681293313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7.3416166894452614E-11</v>
      </c>
      <c r="AX111" s="21">
        <f t="shared" si="60"/>
        <v>6.2640901682027472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2.0572770154103635E-13</v>
      </c>
      <c r="BF111" s="13">
        <f t="shared" si="91"/>
        <v>2.8416956338469711E-12</v>
      </c>
      <c r="BG111" s="20">
        <f t="shared" si="61"/>
        <v>5.3075956424674458E-12</v>
      </c>
      <c r="BH111" s="59">
        <f t="shared" si="62"/>
        <v>293.3333333333386</v>
      </c>
      <c r="BI111" s="59">
        <f ca="1">AVERAGE(OFFSET($BH$3,0,0,'Données projet'!$E$11+1,1))-AVERAGE(OFFSET($H$3,0,0,'Données projet'!$E$11+1,1))</f>
        <v>436.23918637269577</v>
      </c>
      <c r="BJ111" s="59">
        <f t="shared" si="92"/>
        <v>611.43967996341894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3.2009585845084856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3.2009585845084856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369.59999999999968</v>
      </c>
      <c r="BZ111" s="13">
        <f>BY111*VLOOKUP('Données projet'!$B$12,Paramètres!$A$1:$I$89,3,0)*VLOOKUP('Données projet'!$B$12,Paramètres!$A$1:$I$89,5,0)</f>
        <v>311.35103999999973</v>
      </c>
      <c r="CA111" s="13">
        <f t="shared" si="93"/>
        <v>73.550909645758153</v>
      </c>
      <c r="CB111" s="20">
        <f t="shared" si="64"/>
        <v>670.37089563302823</v>
      </c>
      <c r="CC111" s="59">
        <f t="shared" si="65"/>
        <v>963.7042289663616</v>
      </c>
      <c r="CD111" s="59">
        <f ca="1">AVERAGE(OFFSET($CC$3,0,0,'Données projet'!$E$12+1,1))-AVERAGE(OFFSET($H$3,0,0,'Données projet'!$E$12+1,1))</f>
        <v>507.79096804746297</v>
      </c>
      <c r="CE111" s="59">
        <f t="shared" si="94"/>
        <v>312.67921212138998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33.375775420483428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33.375775420483428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318.97291652986593</v>
      </c>
      <c r="T112" s="59">
        <f t="shared" si="88"/>
        <v>338.19413170988122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9">
        <f t="shared" si="59"/>
        <v>293.33333333334014</v>
      </c>
      <c r="AN112" s="59">
        <f ca="1">AVERAGE(OFFSET($AM$3,0,0,'Données projet'!$E$10+1,1))-AVERAGE(OFFSET($H$3,0,0,'Données projet'!$E$10+1,1))</f>
        <v>318.97291652986593</v>
      </c>
      <c r="AO112" s="59">
        <f t="shared" si="90"/>
        <v>338.19413170988122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6.1412551806500533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5.191306945979076E-11</v>
      </c>
      <c r="AX112" s="21">
        <f t="shared" si="60"/>
        <v>6.1412551807019664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2.0572770154103635E-13</v>
      </c>
      <c r="BF112" s="13">
        <f t="shared" si="91"/>
        <v>2.8416956338469711E-12</v>
      </c>
      <c r="BG112" s="20">
        <f t="shared" si="61"/>
        <v>5.3075956424674458E-12</v>
      </c>
      <c r="BH112" s="59">
        <f t="shared" si="62"/>
        <v>293.3333333333386</v>
      </c>
      <c r="BI112" s="59">
        <f ca="1">AVERAGE(OFFSET($BH$3,0,0,'Données projet'!$E$11+1,1))-AVERAGE(OFFSET($H$3,0,0,'Données projet'!$E$11+1,1))</f>
        <v>436.23918637269577</v>
      </c>
      <c r="BJ112" s="59">
        <f t="shared" si="92"/>
        <v>611.43967996341894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3.1381897390582281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3.1381897390582281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374.79999999999967</v>
      </c>
      <c r="BZ112" s="13">
        <f>BY112*VLOOKUP('Données projet'!$B$12,Paramètres!$A$1:$I$89,3,0)*VLOOKUP('Données projet'!$B$12,Paramètres!$A$1:$I$89,5,0)</f>
        <v>315.73151999999976</v>
      </c>
      <c r="CA112" s="13">
        <f t="shared" si="93"/>
        <v>74.464520449607249</v>
      </c>
      <c r="CB112" s="20">
        <f t="shared" si="64"/>
        <v>679.59143711639888</v>
      </c>
      <c r="CC112" s="59">
        <f t="shared" si="65"/>
        <v>972.92477044973225</v>
      </c>
      <c r="CD112" s="59">
        <f ca="1">AVERAGE(OFFSET($CC$3,0,0,'Données projet'!$E$12+1,1))-AVERAGE(OFFSET($H$3,0,0,'Données projet'!$E$12+1,1))</f>
        <v>507.79096804746297</v>
      </c>
      <c r="CE112" s="59">
        <f t="shared" si="94"/>
        <v>312.67921212138998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32.721296821700648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32.721296821700648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318.97291652986593</v>
      </c>
      <c r="T113" s="59">
        <f t="shared" si="88"/>
        <v>338.19413170988122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9">
        <f t="shared" si="59"/>
        <v>293.33333333334014</v>
      </c>
      <c r="AN113" s="59">
        <f ca="1">AVERAGE(OFFSET($AM$3,0,0,'Données projet'!$E$10+1,1))-AVERAGE(OFFSET($H$3,0,0,'Données projet'!$E$10+1,1))</f>
        <v>318.97291652986593</v>
      </c>
      <c r="AO113" s="59">
        <f t="shared" si="90"/>
        <v>338.19413170988122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6.0208289123532994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3.6708083447226307E-11</v>
      </c>
      <c r="AX113" s="21">
        <f t="shared" si="60"/>
        <v>6.0208289123900078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2.0572770154103635E-13</v>
      </c>
      <c r="BF113" s="13">
        <f t="shared" si="91"/>
        <v>2.8416956338469711E-12</v>
      </c>
      <c r="BG113" s="20">
        <f t="shared" si="61"/>
        <v>5.3075956424674458E-12</v>
      </c>
      <c r="BH113" s="59">
        <f t="shared" si="62"/>
        <v>293.3333333333386</v>
      </c>
      <c r="BI113" s="59">
        <f ca="1">AVERAGE(OFFSET($BH$3,0,0,'Données projet'!$E$11+1,1))-AVERAGE(OFFSET($H$3,0,0,'Données projet'!$E$11+1,1))</f>
        <v>436.23918637269577</v>
      </c>
      <c r="BJ113" s="59">
        <f t="shared" si="92"/>
        <v>611.43967996341894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3.0766517523820345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3.0766517523820345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380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379.99999999999966</v>
      </c>
      <c r="BZ113" s="13">
        <f>BY113*VLOOKUP('Données projet'!$B$12,Paramètres!$A$1:$I$89,3,0)*VLOOKUP('Données projet'!$B$12,Paramètres!$A$1:$I$89,5,0)</f>
        <v>320.11199999999974</v>
      </c>
      <c r="CA113" s="13">
        <f t="shared" si="93"/>
        <v>75.376656966346744</v>
      </c>
      <c r="CB113" s="20">
        <f t="shared" si="64"/>
        <v>688.80941088305337</v>
      </c>
      <c r="CC113" s="59">
        <f t="shared" si="65"/>
        <v>982.14274421638675</v>
      </c>
      <c r="CD113" s="59">
        <f ca="1">AVERAGE(OFFSET($CC$3,0,0,'Données projet'!$E$12+1,1))-AVERAGE(OFFSET($H$3,0,0,'Données projet'!$E$12+1,1))</f>
        <v>507.79096804746297</v>
      </c>
      <c r="CE113" s="59">
        <f t="shared" si="94"/>
        <v>312.67921212138998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52.501926221515426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52.501926221515426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318.97291652986593</v>
      </c>
      <c r="T114" s="59">
        <f t="shared" si="88"/>
        <v>338.19413170988122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9">
        <f t="shared" si="59"/>
        <v>293.33333333334014</v>
      </c>
      <c r="AN114" s="59">
        <f ca="1">AVERAGE(OFFSET($AM$3,0,0,'Données projet'!$E$10+1,1))-AVERAGE(OFFSET($H$3,0,0,'Données projet'!$E$10+1,1))</f>
        <v>318.97291652986593</v>
      </c>
      <c r="AO114" s="59">
        <f t="shared" si="90"/>
        <v>338.19413170988122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5.9027641297250737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2.595653472989538E-11</v>
      </c>
      <c r="AX114" s="21">
        <f t="shared" si="60"/>
        <v>5.9027641297510298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2.0572770154103635E-13</v>
      </c>
      <c r="BF114" s="13">
        <f t="shared" si="91"/>
        <v>2.8416956338469711E-12</v>
      </c>
      <c r="BG114" s="20">
        <f t="shared" si="61"/>
        <v>5.3075956424674458E-12</v>
      </c>
      <c r="BH114" s="59">
        <f t="shared" si="62"/>
        <v>293.3333333333386</v>
      </c>
      <c r="BI114" s="59">
        <f ca="1">AVERAGE(OFFSET($BH$3,0,0,'Données projet'!$E$11+1,1))-AVERAGE(OFFSET($H$3,0,0,'Données projet'!$E$11+1,1))</f>
        <v>436.23918637269577</v>
      </c>
      <c r="BJ114" s="59">
        <f t="shared" si="92"/>
        <v>611.43967996341894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3.0163204880900958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3.0163204880900958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333.49999999999966</v>
      </c>
      <c r="BZ114" s="13">
        <f>BY114*VLOOKUP('Données projet'!$B$12,Paramètres!$A$1:$I$89,3,0)*VLOOKUP('Données projet'!$B$12,Paramètres!$A$1:$I$89,5,0)</f>
        <v>280.94039999999973</v>
      </c>
      <c r="CA114" s="13">
        <f t="shared" si="93"/>
        <v>67.165703636653149</v>
      </c>
      <c r="CB114" s="20">
        <f t="shared" si="64"/>
        <v>606.28479716717038</v>
      </c>
      <c r="CC114" s="59">
        <f t="shared" si="65"/>
        <v>899.61813050050364</v>
      </c>
      <c r="CD114" s="59">
        <f ca="1">AVERAGE(OFFSET($CC$3,0,0,'Données projet'!$E$12+1,1))-AVERAGE(OFFSET($H$3,0,0,'Données projet'!$E$12+1,1))</f>
        <v>507.79096804746297</v>
      </c>
      <c r="CE114" s="59">
        <f t="shared" si="94"/>
        <v>312.67921212138998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51.472395471324496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51.472395471324496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318.97291652986593</v>
      </c>
      <c r="T115" s="59">
        <f t="shared" si="88"/>
        <v>338.19413170988122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9">
        <f t="shared" si="59"/>
        <v>293.33333333334014</v>
      </c>
      <c r="AN115" s="59">
        <f ca="1">AVERAGE(OFFSET($AM$3,0,0,'Données projet'!$E$10+1,1))-AVERAGE(OFFSET($H$3,0,0,'Données projet'!$E$10+1,1))</f>
        <v>318.97291652986593</v>
      </c>
      <c r="AO115" s="59">
        <f t="shared" si="90"/>
        <v>338.19413170988122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5.7870145254717809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1.8354041723613154E-11</v>
      </c>
      <c r="AX115" s="21">
        <f t="shared" si="60"/>
        <v>5.7870145254901351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2.0572770154103635E-13</v>
      </c>
      <c r="BF115" s="13">
        <f t="shared" si="91"/>
        <v>2.8416956338469711E-12</v>
      </c>
      <c r="BG115" s="20">
        <f t="shared" si="61"/>
        <v>5.3075956424674458E-12</v>
      </c>
      <c r="BH115" s="59">
        <f t="shared" si="62"/>
        <v>293.3333333333386</v>
      </c>
      <c r="BI115" s="59">
        <f ca="1">AVERAGE(OFFSET($BH$3,0,0,'Données projet'!$E$11+1,1))-AVERAGE(OFFSET($H$3,0,0,'Données projet'!$E$11+1,1))</f>
        <v>436.23918637269577</v>
      </c>
      <c r="BJ115" s="59">
        <f t="shared" si="92"/>
        <v>611.43967996341894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2.957172283092484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2.957172283092484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337.99999999999966</v>
      </c>
      <c r="BZ115" s="13">
        <f>BY115*VLOOKUP('Données projet'!$B$12,Paramètres!$A$1:$I$89,3,0)*VLOOKUP('Données projet'!$B$12,Paramètres!$A$1:$I$89,5,0)</f>
        <v>284.73119999999977</v>
      </c>
      <c r="CA115" s="13">
        <f t="shared" si="93"/>
        <v>67.965870320050954</v>
      </c>
      <c r="CB115" s="20">
        <f t="shared" si="64"/>
        <v>614.28073080742161</v>
      </c>
      <c r="CC115" s="59">
        <f t="shared" si="65"/>
        <v>907.61406414075486</v>
      </c>
      <c r="CD115" s="59">
        <f ca="1">AVERAGE(OFFSET($CC$3,0,0,'Données projet'!$E$12+1,1))-AVERAGE(OFFSET($H$3,0,0,'Données projet'!$E$12+1,1))</f>
        <v>507.79096804746297</v>
      </c>
      <c r="CE115" s="59">
        <f t="shared" si="94"/>
        <v>312.67921212138998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50.463053191193055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50.463053191193055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318.97291652986593</v>
      </c>
      <c r="T116" s="59">
        <f t="shared" si="88"/>
        <v>338.19413170988122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9">
        <f t="shared" si="59"/>
        <v>293.33333333334014</v>
      </c>
      <c r="AN116" s="59">
        <f ca="1">AVERAGE(OFFSET($AM$3,0,0,'Données projet'!$E$10+1,1))-AVERAGE(OFFSET($H$3,0,0,'Données projet'!$E$10+1,1))</f>
        <v>318.97291652986593</v>
      </c>
      <c r="AO116" s="59">
        <f t="shared" si="90"/>
        <v>338.19413170988122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5.6735347003576075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1.297826736494769E-11</v>
      </c>
      <c r="AX116" s="21">
        <f t="shared" si="60"/>
        <v>5.6735347003705856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2.0572770154103635E-13</v>
      </c>
      <c r="BF116" s="13">
        <f t="shared" si="91"/>
        <v>2.8416956338469711E-12</v>
      </c>
      <c r="BG116" s="20">
        <f t="shared" si="61"/>
        <v>5.3075956424674458E-12</v>
      </c>
      <c r="BH116" s="59">
        <f t="shared" si="62"/>
        <v>293.3333333333386</v>
      </c>
      <c r="BI116" s="59">
        <f ca="1">AVERAGE(OFFSET($BH$3,0,0,'Données projet'!$E$11+1,1))-AVERAGE(OFFSET($H$3,0,0,'Données projet'!$E$11+1,1))</f>
        <v>436.23918637269577</v>
      </c>
      <c r="BJ116" s="59">
        <f t="shared" si="92"/>
        <v>611.43967996341894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2.8991839383180329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2.8991839383180329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342.49999999999966</v>
      </c>
      <c r="BZ116" s="13">
        <f>BY116*VLOOKUP('Données projet'!$B$12,Paramètres!$A$1:$I$89,3,0)*VLOOKUP('Données projet'!$B$12,Paramètres!$A$1:$I$89,5,0)</f>
        <v>288.52199999999971</v>
      </c>
      <c r="CA116" s="13">
        <f t="shared" si="93"/>
        <v>68.764797903454593</v>
      </c>
      <c r="CB116" s="20">
        <f t="shared" si="64"/>
        <v>622.27450634851618</v>
      </c>
      <c r="CC116" s="59">
        <f t="shared" si="65"/>
        <v>915.60783968184955</v>
      </c>
      <c r="CD116" s="59">
        <f ca="1">AVERAGE(OFFSET($CC$3,0,0,'Données projet'!$E$12+1,1))-AVERAGE(OFFSET($H$3,0,0,'Données projet'!$E$12+1,1))</f>
        <v>507.79096804746297</v>
      </c>
      <c r="CE116" s="59">
        <f t="shared" si="94"/>
        <v>312.67921212138998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49.473503497536989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49.473503497536989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318.97291652986593</v>
      </c>
      <c r="T117" s="59">
        <f t="shared" si="88"/>
        <v>338.19413170988122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9">
        <f t="shared" si="59"/>
        <v>293.33333333334014</v>
      </c>
      <c r="AN117" s="59">
        <f ca="1">AVERAGE(OFFSET($AM$3,0,0,'Données projet'!$E$10+1,1))-AVERAGE(OFFSET($H$3,0,0,'Données projet'!$E$10+1,1))</f>
        <v>318.97291652986593</v>
      </c>
      <c r="AO117" s="59">
        <f t="shared" si="90"/>
        <v>338.19413170988122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5.5622801453980646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9.1770208618065768E-12</v>
      </c>
      <c r="AX117" s="21">
        <f t="shared" si="60"/>
        <v>5.5622801454072412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2.0572770154103635E-13</v>
      </c>
      <c r="BF117" s="13">
        <f t="shared" si="91"/>
        <v>2.8416956338469711E-12</v>
      </c>
      <c r="BG117" s="20">
        <f t="shared" si="61"/>
        <v>5.3075956424674458E-12</v>
      </c>
      <c r="BH117" s="59">
        <f t="shared" si="62"/>
        <v>293.3333333333386</v>
      </c>
      <c r="BI117" s="59">
        <f ca="1">AVERAGE(OFFSET($BH$3,0,0,'Données projet'!$E$11+1,1))-AVERAGE(OFFSET($H$3,0,0,'Données projet'!$E$11+1,1))</f>
        <v>436.23918637269577</v>
      </c>
      <c r="BJ117" s="59">
        <f t="shared" si="92"/>
        <v>611.43967996341894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2.8423327096152109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2.8423327096152109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346.99999999999966</v>
      </c>
      <c r="BZ117" s="13">
        <f>BY117*VLOOKUP('Données projet'!$B$12,Paramètres!$A$1:$I$89,3,0)*VLOOKUP('Données projet'!$B$12,Paramètres!$A$1:$I$89,5,0)</f>
        <v>292.31279999999975</v>
      </c>
      <c r="CA117" s="13">
        <f t="shared" si="93"/>
        <v>69.562504549179607</v>
      </c>
      <c r="CB117" s="20">
        <f t="shared" si="64"/>
        <v>630.26615542315403</v>
      </c>
      <c r="CC117" s="59">
        <f t="shared" si="65"/>
        <v>923.59948875648729</v>
      </c>
      <c r="CD117" s="59">
        <f ca="1">AVERAGE(OFFSET($CC$3,0,0,'Données projet'!$E$12+1,1))-AVERAGE(OFFSET($H$3,0,0,'Données projet'!$E$12+1,1))</f>
        <v>507.79096804746297</v>
      </c>
      <c r="CE117" s="59">
        <f t="shared" si="94"/>
        <v>312.67921212138998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48.503358269807805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48.503358269807805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318.97291652986593</v>
      </c>
      <c r="T118" s="59">
        <f t="shared" si="88"/>
        <v>338.19413170988122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9">
        <f t="shared" si="59"/>
        <v>293.33333333334014</v>
      </c>
      <c r="AN118" s="59">
        <f ca="1">AVERAGE(OFFSET($AM$3,0,0,'Données projet'!$E$10+1,1))-AVERAGE(OFFSET($H$3,0,0,'Données projet'!$E$10+1,1))</f>
        <v>318.97291652986593</v>
      </c>
      <c r="AO118" s="59">
        <f t="shared" si="90"/>
        <v>338.19413170988122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5.4532072244026999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6.489133682473845E-12</v>
      </c>
      <c r="AX118" s="21">
        <f t="shared" si="60"/>
        <v>5.4532072244091889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2.0572770154103635E-13</v>
      </c>
      <c r="BF118" s="13">
        <f t="shared" si="91"/>
        <v>2.8416956338469711E-12</v>
      </c>
      <c r="BG118" s="20">
        <f t="shared" si="61"/>
        <v>5.3075956424674458E-12</v>
      </c>
      <c r="BH118" s="59">
        <f t="shared" si="62"/>
        <v>293.3333333333386</v>
      </c>
      <c r="BI118" s="59">
        <f ca="1">AVERAGE(OFFSET($BH$3,0,0,'Données projet'!$E$11+1,1))-AVERAGE(OFFSET($H$3,0,0,'Données projet'!$E$11+1,1))</f>
        <v>436.23918637269577</v>
      </c>
      <c r="BJ118" s="59">
        <f t="shared" si="92"/>
        <v>611.43967996341894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2.7865962988314257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2.7865962988314257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351.49999999999966</v>
      </c>
      <c r="BZ118" s="13">
        <f>BY118*VLOOKUP('Données projet'!$B$12,Paramètres!$A$1:$I$89,3,0)*VLOOKUP('Données projet'!$B$12,Paramètres!$A$1:$I$89,5,0)</f>
        <v>296.10359999999974</v>
      </c>
      <c r="CA118" s="13">
        <f t="shared" si="93"/>
        <v>70.359007921390557</v>
      </c>
      <c r="CB118" s="20">
        <f t="shared" si="64"/>
        <v>638.25570879642146</v>
      </c>
      <c r="CC118" s="59">
        <f t="shared" si="65"/>
        <v>931.58904212975472</v>
      </c>
      <c r="CD118" s="59">
        <f ca="1">AVERAGE(OFFSET($CC$3,0,0,'Données projet'!$E$12+1,1))-AVERAGE(OFFSET($H$3,0,0,'Données projet'!$E$12+1,1))</f>
        <v>507.79096804746297</v>
      </c>
      <c r="CE118" s="59">
        <f t="shared" si="94"/>
        <v>312.67921212138998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47.552236998264227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47.552236998264227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318.97291652986593</v>
      </c>
      <c r="T119" s="59">
        <f t="shared" si="88"/>
        <v>338.19413170988122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9">
        <f t="shared" si="59"/>
        <v>293.33333333334014</v>
      </c>
      <c r="AN119" s="59">
        <f ca="1">AVERAGE(OFFSET($AM$3,0,0,'Données projet'!$E$10+1,1))-AVERAGE(OFFSET($H$3,0,0,'Données projet'!$E$10+1,1))</f>
        <v>318.97291652986593</v>
      </c>
      <c r="AO119" s="59">
        <f t="shared" si="90"/>
        <v>338.19413170988122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5.3462731568601418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4.5885104309032884E-12</v>
      </c>
      <c r="AX119" s="21">
        <f t="shared" si="60"/>
        <v>5.3462731568647301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2.0572770154103635E-13</v>
      </c>
      <c r="BF119" s="13">
        <f t="shared" si="91"/>
        <v>2.8416956338469711E-12</v>
      </c>
      <c r="BG119" s="20">
        <f t="shared" si="61"/>
        <v>5.3075956424674458E-12</v>
      </c>
      <c r="BH119" s="59">
        <f t="shared" si="62"/>
        <v>293.3333333333386</v>
      </c>
      <c r="BI119" s="59">
        <f ca="1">AVERAGE(OFFSET($BH$3,0,0,'Données projet'!$E$11+1,1))-AVERAGE(OFFSET($H$3,0,0,'Données projet'!$E$11+1,1))</f>
        <v>436.23918637269577</v>
      </c>
      <c r="BJ119" s="59">
        <f t="shared" si="92"/>
        <v>611.43967996341894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2.7319528450672568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2.7319528450672568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355.99999999999966</v>
      </c>
      <c r="BZ119" s="13">
        <f>BY119*VLOOKUP('Données projet'!$B$12,Paramètres!$A$1:$I$89,3,0)*VLOOKUP('Données projet'!$B$12,Paramètres!$A$1:$I$89,5,0)</f>
        <v>299.89439999999973</v>
      </c>
      <c r="CA119" s="13">
        <f t="shared" si="93"/>
        <v>71.154325205963943</v>
      </c>
      <c r="CB119" s="20">
        <f t="shared" si="64"/>
        <v>646.24319640038686</v>
      </c>
      <c r="CC119" s="59">
        <f t="shared" si="65"/>
        <v>939.57652973372024</v>
      </c>
      <c r="CD119" s="59">
        <f ca="1">AVERAGE(OFFSET($CC$3,0,0,'Données projet'!$E$12+1,1))-AVERAGE(OFFSET($H$3,0,0,'Données projet'!$E$12+1,1))</f>
        <v>507.79096804746297</v>
      </c>
      <c r="CE119" s="59">
        <f t="shared" si="94"/>
        <v>312.67921212138998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46.619766634728926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46.619766634728926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318.97291652986593</v>
      </c>
      <c r="T120" s="59">
        <f t="shared" si="88"/>
        <v>338.19413170988122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9">
        <f t="shared" si="59"/>
        <v>293.33333333334014</v>
      </c>
      <c r="AN120" s="59">
        <f ca="1">AVERAGE(OFFSET($AM$3,0,0,'Données projet'!$E$10+1,1))-AVERAGE(OFFSET($H$3,0,0,'Données projet'!$E$10+1,1))</f>
        <v>318.97291652986593</v>
      </c>
      <c r="AO120" s="59">
        <f t="shared" si="90"/>
        <v>338.19413170988122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5.2414360011587524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3.2445668412369225E-12</v>
      </c>
      <c r="AX120" s="21">
        <f t="shared" si="60"/>
        <v>5.2414360011619969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2.0572770154103635E-13</v>
      </c>
      <c r="BF120" s="13">
        <f t="shared" si="91"/>
        <v>2.8416956338469711E-12</v>
      </c>
      <c r="BG120" s="20">
        <f t="shared" si="61"/>
        <v>5.3075956424674458E-12</v>
      </c>
      <c r="BH120" s="59">
        <f t="shared" si="62"/>
        <v>293.3333333333386</v>
      </c>
      <c r="BI120" s="59">
        <f ca="1">AVERAGE(OFFSET($BH$3,0,0,'Données projet'!$E$11+1,1))-AVERAGE(OFFSET($H$3,0,0,'Données projet'!$E$11+1,1))</f>
        <v>436.23918637269577</v>
      </c>
      <c r="BJ120" s="59">
        <f t="shared" si="92"/>
        <v>611.43967996341894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2.6783809161021872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2.6783809161021872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360.49999999999966</v>
      </c>
      <c r="BZ120" s="13">
        <f>BY120*VLOOKUP('Données projet'!$B$12,Paramètres!$A$1:$I$89,3,0)*VLOOKUP('Données projet'!$B$12,Paramètres!$A$1:$I$89,5,0)</f>
        <v>303.68519999999972</v>
      </c>
      <c r="CA120" s="13">
        <f t="shared" si="93"/>
        <v>71.948473129316923</v>
      </c>
      <c r="CB120" s="20">
        <f t="shared" si="64"/>
        <v>654.22864736689314</v>
      </c>
      <c r="CC120" s="59">
        <f t="shared" si="65"/>
        <v>947.56198070022651</v>
      </c>
      <c r="CD120" s="59">
        <f ca="1">AVERAGE(OFFSET($CC$3,0,0,'Données projet'!$E$12+1,1))-AVERAGE(OFFSET($H$3,0,0,'Données projet'!$E$12+1,1))</f>
        <v>507.79096804746297</v>
      </c>
      <c r="CE120" s="59">
        <f t="shared" si="94"/>
        <v>312.67921212138998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45.705581446271793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45.705581446271793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318.97291652986593</v>
      </c>
      <c r="T121" s="59">
        <f t="shared" si="88"/>
        <v>338.19413170988122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9">
        <f t="shared" si="59"/>
        <v>293.33333333334014</v>
      </c>
      <c r="AN121" s="59">
        <f ca="1">AVERAGE(OFFSET($AM$3,0,0,'Données projet'!$E$10+1,1))-AVERAGE(OFFSET($H$3,0,0,'Données projet'!$E$10+1,1))</f>
        <v>318.97291652986593</v>
      </c>
      <c r="AO121" s="59">
        <f t="shared" si="90"/>
        <v>338.19413170988122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5.1386546381363161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2.2942552154516442E-12</v>
      </c>
      <c r="AX121" s="21">
        <f t="shared" si="60"/>
        <v>5.1386546381386102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2.0572770154103635E-13</v>
      </c>
      <c r="BF121" s="13">
        <f t="shared" si="91"/>
        <v>2.8416956338469711E-12</v>
      </c>
      <c r="BG121" s="20">
        <f t="shared" si="61"/>
        <v>5.3075956424674458E-12</v>
      </c>
      <c r="BH121" s="59">
        <f t="shared" si="62"/>
        <v>293.3333333333386</v>
      </c>
      <c r="BI121" s="59">
        <f ca="1">AVERAGE(OFFSET($BH$3,0,0,'Données projet'!$E$11+1,1))-AVERAGE(OFFSET($H$3,0,0,'Données projet'!$E$11+1,1))</f>
        <v>436.23918637269577</v>
      </c>
      <c r="BJ121" s="59">
        <f t="shared" si="92"/>
        <v>611.43967996341894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2.6258594999884726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2.6258594999884726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364.99999999999966</v>
      </c>
      <c r="BZ121" s="13">
        <f>BY121*VLOOKUP('Données projet'!$B$12,Paramètres!$A$1:$I$89,3,0)*VLOOKUP('Données projet'!$B$12,Paramètres!$A$1:$I$89,5,0)</f>
        <v>307.47599999999971</v>
      </c>
      <c r="CA121" s="13">
        <f t="shared" si="93"/>
        <v>72.741467976269917</v>
      </c>
      <c r="CB121" s="20">
        <f t="shared" si="64"/>
        <v>662.21209005866956</v>
      </c>
      <c r="CC121" s="59">
        <f t="shared" si="65"/>
        <v>955.54542339200293</v>
      </c>
      <c r="CD121" s="59">
        <f ca="1">AVERAGE(OFFSET($CC$3,0,0,'Données projet'!$E$12+1,1))-AVERAGE(OFFSET($H$3,0,0,'Données projet'!$E$12+1,1))</f>
        <v>507.79096804746297</v>
      </c>
      <c r="CE121" s="59">
        <f t="shared" si="94"/>
        <v>312.67921212138998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44.809322871762397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44.809322871762397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318.97291652986593</v>
      </c>
      <c r="T122" s="59">
        <f t="shared" si="88"/>
        <v>338.19413170988122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9">
        <f t="shared" si="59"/>
        <v>293.33333333334014</v>
      </c>
      <c r="AN122" s="59">
        <f ca="1">AVERAGE(OFFSET($AM$3,0,0,'Données projet'!$E$10+1,1))-AVERAGE(OFFSET($H$3,0,0,'Données projet'!$E$10+1,1))</f>
        <v>318.97291652986593</v>
      </c>
      <c r="AO122" s="59">
        <f t="shared" si="90"/>
        <v>338.19413170988122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5.0378887549523084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1.6222834206184612E-12</v>
      </c>
      <c r="AX122" s="21">
        <f t="shared" si="60"/>
        <v>5.0378887549539311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2.0572770154103635E-13</v>
      </c>
      <c r="BF122" s="13">
        <f t="shared" si="91"/>
        <v>2.8416956338469711E-12</v>
      </c>
      <c r="BG122" s="20">
        <f t="shared" si="61"/>
        <v>5.3075956424674458E-12</v>
      </c>
      <c r="BH122" s="59">
        <f t="shared" si="62"/>
        <v>293.3333333333386</v>
      </c>
      <c r="BI122" s="59">
        <f ca="1">AVERAGE(OFFSET($BH$3,0,0,'Données projet'!$E$11+1,1))-AVERAGE(OFFSET($H$3,0,0,'Données projet'!$E$11+1,1))</f>
        <v>436.23918637269577</v>
      </c>
      <c r="BJ122" s="59">
        <f t="shared" si="92"/>
        <v>611.43967996341894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2.5743679968098472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2.5743679968098472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369.49999999999966</v>
      </c>
      <c r="BZ122" s="13">
        <f>BY122*VLOOKUP('Données projet'!$B$12,Paramètres!$A$1:$I$89,3,0)*VLOOKUP('Données projet'!$B$12,Paramètres!$A$1:$I$89,5,0)</f>
        <v>311.26679999999976</v>
      </c>
      <c r="CA122" s="13">
        <f t="shared" si="93"/>
        <v>73.533325607002496</v>
      </c>
      <c r="CB122" s="20">
        <f t="shared" si="64"/>
        <v>670.19355209886214</v>
      </c>
      <c r="CC122" s="59">
        <f t="shared" si="65"/>
        <v>963.52688543219551</v>
      </c>
      <c r="CD122" s="59">
        <f ca="1">AVERAGE(OFFSET($CC$3,0,0,'Données projet'!$E$12+1,1))-AVERAGE(OFFSET($H$3,0,0,'Données projet'!$E$12+1,1))</f>
        <v>507.79096804746297</v>
      </c>
      <c r="CE122" s="59">
        <f t="shared" si="94"/>
        <v>312.67921212138998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43.93063938123538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43.93063938123538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318.97291652986593</v>
      </c>
      <c r="T123" s="59">
        <f t="shared" si="88"/>
        <v>338.19413170988122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9">
        <f t="shared" si="59"/>
        <v>293.33333333334014</v>
      </c>
      <c r="AN123" s="59">
        <f ca="1">AVERAGE(OFFSET($AM$3,0,0,'Données projet'!$E$10+1,1))-AVERAGE(OFFSET($H$3,0,0,'Données projet'!$E$10+1,1))</f>
        <v>318.97291652986593</v>
      </c>
      <c r="AO123" s="59">
        <f t="shared" si="90"/>
        <v>338.19413170988122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4.9390988292764195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1.1471276077258221E-12</v>
      </c>
      <c r="AX123" s="21">
        <f t="shared" si="60"/>
        <v>4.939098829277567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2.0572770154103635E-13</v>
      </c>
      <c r="BF123" s="13">
        <f t="shared" si="91"/>
        <v>2.8416956338469711E-12</v>
      </c>
      <c r="BG123" s="20">
        <f t="shared" si="61"/>
        <v>5.3075956424674458E-12</v>
      </c>
      <c r="BH123" s="59">
        <f t="shared" si="62"/>
        <v>293.3333333333386</v>
      </c>
      <c r="BI123" s="59">
        <f ca="1">AVERAGE(OFFSET($BH$3,0,0,'Données projet'!$E$11+1,1))-AVERAGE(OFFSET($H$3,0,0,'Données projet'!$E$11+1,1))</f>
        <v>436.23918637269577</v>
      </c>
      <c r="BJ123" s="59">
        <f t="shared" si="92"/>
        <v>611.43967996341894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2.5238862106018387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2.5238862106018387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374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373.99999999999966</v>
      </c>
      <c r="BZ123" s="13">
        <f>BY123*VLOOKUP('Données projet'!$B$12,Paramètres!$A$1:$I$89,3,0)*VLOOKUP('Données projet'!$B$12,Paramètres!$A$1:$I$89,5,0)</f>
        <v>315.05759999999975</v>
      </c>
      <c r="CA123" s="13">
        <f t="shared" si="93"/>
        <v>74.324061473160583</v>
      </c>
      <c r="CB123" s="20">
        <f t="shared" si="64"/>
        <v>678.17306039908749</v>
      </c>
      <c r="CC123" s="59">
        <f t="shared" si="65"/>
        <v>971.50639373242075</v>
      </c>
      <c r="CD123" s="59">
        <f ca="1">AVERAGE(OFFSET($CC$3,0,0,'Données projet'!$E$12+1,1))-AVERAGE(OFFSET($H$3,0,0,'Données projet'!$E$12+1,1))</f>
        <v>507.79096804746297</v>
      </c>
      <c r="CE123" s="59">
        <f t="shared" si="94"/>
        <v>312.67921212138998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47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43.069186338013587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43.069186338013587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318.97291652986593</v>
      </c>
      <c r="T124" s="59">
        <f t="shared" si="88"/>
        <v>338.19413170988122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9">
        <f t="shared" si="59"/>
        <v>293.33333333334014</v>
      </c>
      <c r="AN124" s="59">
        <f ca="1">AVERAGE(OFFSET($AM$3,0,0,'Données projet'!$E$10+1,1))-AVERAGE(OFFSET($H$3,0,0,'Données projet'!$E$10+1,1))</f>
        <v>318.97291652986593</v>
      </c>
      <c r="AO124" s="59">
        <f t="shared" si="90"/>
        <v>338.19413170988122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4.8422461137871302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8.1114171030923062E-13</v>
      </c>
      <c r="AX124" s="21">
        <f t="shared" si="60"/>
        <v>4.8422461137879411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2.0572770154103635E-13</v>
      </c>
      <c r="BF124" s="13">
        <f t="shared" si="91"/>
        <v>2.8416956338469711E-12</v>
      </c>
      <c r="BG124" s="20">
        <f t="shared" si="61"/>
        <v>5.3075956424674458E-12</v>
      </c>
      <c r="BH124" s="59">
        <f t="shared" si="62"/>
        <v>293.3333333333386</v>
      </c>
      <c r="BI124" s="59">
        <f ca="1">AVERAGE(OFFSET($BH$3,0,0,'Données projet'!$E$11+1,1))-AVERAGE(OFFSET($H$3,0,0,'Données projet'!$E$11+1,1))</f>
        <v>436.23918637269577</v>
      </c>
      <c r="BJ124" s="59">
        <f t="shared" si="92"/>
        <v>611.43967996341894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2.4743943414305201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2.4743943414305201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4.0999999999999996</v>
      </c>
      <c r="BY124" s="12">
        <f>IF('Données projet'!$A$114&gt;35,BY123+BX124-CG123,IF(A124&lt;'Données projet'!$A$114,$BV$205^A124,IF(A124='Données projet'!$A$114,'Données projet'!$B$114,BY123+BX124-CG123)))</f>
        <v>331.09999999999968</v>
      </c>
      <c r="BZ124" s="13">
        <f>BY124*VLOOKUP('Données projet'!$B$12,Paramètres!$A$1:$I$89,3,0)*VLOOKUP('Données projet'!$B$12,Paramètres!$A$1:$I$89,5,0)</f>
        <v>278.91863999999975</v>
      </c>
      <c r="CA124" s="13">
        <f t="shared" si="93"/>
        <v>66.738434989089512</v>
      </c>
      <c r="CB124" s="20">
        <f t="shared" si="64"/>
        <v>602.01940560599712</v>
      </c>
      <c r="CC124" s="59">
        <f t="shared" si="65"/>
        <v>895.35273893933049</v>
      </c>
      <c r="CD124" s="59">
        <f ca="1">AVERAGE(OFFSET($CC$3,0,0,'Données projet'!$E$12+1,1))-AVERAGE(OFFSET($H$3,0,0,'Données projet'!$E$12+1,1))</f>
        <v>507.79096804746297</v>
      </c>
      <c r="CE124" s="59">
        <f t="shared" si="94"/>
        <v>312.67921212138998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42.224625863534897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42.224625863534897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318.97291652986593</v>
      </c>
      <c r="T125" s="59">
        <f t="shared" si="88"/>
        <v>338.19413170988122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9">
        <f t="shared" si="59"/>
        <v>293.33333333334014</v>
      </c>
      <c r="AN125" s="59">
        <f ca="1">AVERAGE(OFFSET($AM$3,0,0,'Données projet'!$E$10+1,1))-AVERAGE(OFFSET($H$3,0,0,'Données projet'!$E$10+1,1))</f>
        <v>318.97291652986593</v>
      </c>
      <c r="AO125" s="59">
        <f t="shared" si="90"/>
        <v>338.19413170988122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4.7472926209742621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5.7356380386291105E-13</v>
      </c>
      <c r="AX125" s="21">
        <f t="shared" si="60"/>
        <v>4.7472926209748358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2.0572770154103635E-13</v>
      </c>
      <c r="BF125" s="13">
        <f t="shared" si="91"/>
        <v>2.8416956338469711E-12</v>
      </c>
      <c r="BG125" s="20">
        <f t="shared" si="61"/>
        <v>5.3075956424674458E-12</v>
      </c>
      <c r="BH125" s="59">
        <f t="shared" si="62"/>
        <v>293.3333333333386</v>
      </c>
      <c r="BI125" s="59">
        <f ca="1">AVERAGE(OFFSET($BH$3,0,0,'Données projet'!$E$11+1,1))-AVERAGE(OFFSET($H$3,0,0,'Données projet'!$E$11+1,1))</f>
        <v>436.23918637269577</v>
      </c>
      <c r="BJ125" s="59">
        <f t="shared" si="92"/>
        <v>611.43967996341894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2.4258729776265917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2.4258729776265917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4.0999999999999996</v>
      </c>
      <c r="BY125" s="12">
        <f>IF('Données projet'!$A$114&gt;35,BY124+BX125-CG124,IF(A125&lt;'Données projet'!$A$114,$BV$205^A125,IF(A125='Données projet'!$A$114,'Données projet'!$B$114,BY124+BX125-CG124)))</f>
        <v>335.1999999999997</v>
      </c>
      <c r="BZ125" s="13">
        <f>BY125*VLOOKUP('Données projet'!$B$12,Paramètres!$A$1:$I$89,3,0)*VLOOKUP('Données projet'!$B$12,Paramètres!$A$1:$I$89,5,0)</f>
        <v>282.37247999999977</v>
      </c>
      <c r="CA125" s="13">
        <f t="shared" si="93"/>
        <v>67.468135636314159</v>
      </c>
      <c r="CB125" s="20">
        <f t="shared" si="64"/>
        <v>609.30573889991354</v>
      </c>
      <c r="CC125" s="59">
        <f t="shared" si="65"/>
        <v>902.63907223324691</v>
      </c>
      <c r="CD125" s="59">
        <f ca="1">AVERAGE(OFFSET($CC$3,0,0,'Données projet'!$E$12+1,1))-AVERAGE(OFFSET($H$3,0,0,'Données projet'!$E$12+1,1))</f>
        <v>507.79096804746297</v>
      </c>
      <c r="CE125" s="59">
        <f t="shared" si="94"/>
        <v>312.67921212138998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41.396626704829707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41.396626704829707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318.97291652986593</v>
      </c>
      <c r="T126" s="59">
        <f t="shared" si="88"/>
        <v>338.19413170988122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9">
        <f t="shared" si="59"/>
        <v>293.33333333334014</v>
      </c>
      <c r="AN126" s="59">
        <f ca="1">AVERAGE(OFFSET($AM$3,0,0,'Données projet'!$E$10+1,1))-AVERAGE(OFFSET($H$3,0,0,'Données projet'!$E$10+1,1))</f>
        <v>318.97291652986593</v>
      </c>
      <c r="AO126" s="59">
        <f t="shared" si="90"/>
        <v>338.19413170988122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4.6542011082395423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4.0557085515461531E-13</v>
      </c>
      <c r="AX126" s="21">
        <f t="shared" si="60"/>
        <v>4.6542011082399481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2.0572770154103635E-13</v>
      </c>
      <c r="BF126" s="13">
        <f t="shared" si="91"/>
        <v>2.8416956338469711E-12</v>
      </c>
      <c r="BG126" s="20">
        <f t="shared" si="61"/>
        <v>5.3075956424674458E-12</v>
      </c>
      <c r="BH126" s="59">
        <f t="shared" si="62"/>
        <v>293.3333333333386</v>
      </c>
      <c r="BI126" s="59">
        <f ca="1">AVERAGE(OFFSET($BH$3,0,0,'Données projet'!$E$11+1,1))-AVERAGE(OFFSET($H$3,0,0,'Données projet'!$E$11+1,1))</f>
        <v>436.23918637269577</v>
      </c>
      <c r="BJ126" s="59">
        <f t="shared" si="92"/>
        <v>611.43967996341894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2.3783030881717488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2.3783030881717488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4.0999999999999996</v>
      </c>
      <c r="BY126" s="12">
        <f>IF('Données projet'!$A$114&gt;35,BY125+BX126-CG125,IF(A126&lt;'Données projet'!$A$114,$BV$205^A126,IF(A126='Données projet'!$A$114,'Données projet'!$B$114,BY125+BX126-CG125)))</f>
        <v>339.29999999999973</v>
      </c>
      <c r="BZ126" s="13">
        <f>BY126*VLOOKUP('Données projet'!$B$12,Paramètres!$A$1:$I$89,3,0)*VLOOKUP('Données projet'!$B$12,Paramètres!$A$1:$I$89,5,0)</f>
        <v>285.82631999999978</v>
      </c>
      <c r="CA126" s="13">
        <f t="shared" si="93"/>
        <v>68.196798086264792</v>
      </c>
      <c r="CB126" s="20">
        <f t="shared" si="64"/>
        <v>616.59026400024413</v>
      </c>
      <c r="CC126" s="59">
        <f t="shared" si="65"/>
        <v>909.92359733357739</v>
      </c>
      <c r="CD126" s="59">
        <f ca="1">AVERAGE(OFFSET($CC$3,0,0,'Données projet'!$E$12+1,1))-AVERAGE(OFFSET($H$3,0,0,'Données projet'!$E$12+1,1))</f>
        <v>507.79096804746297</v>
      </c>
      <c r="CE126" s="59">
        <f t="shared" si="94"/>
        <v>312.67921212138998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40.584864104597109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40.584864104597109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318.97291652986593</v>
      </c>
      <c r="T127" s="59">
        <f t="shared" si="88"/>
        <v>338.19413170988122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9">
        <f t="shared" si="59"/>
        <v>293.33333333334014</v>
      </c>
      <c r="AN127" s="59">
        <f ca="1">AVERAGE(OFFSET($AM$3,0,0,'Données projet'!$E$10+1,1))-AVERAGE(OFFSET($H$3,0,0,'Données projet'!$E$10+1,1))</f>
        <v>318.97291652986593</v>
      </c>
      <c r="AO127" s="59">
        <f t="shared" si="90"/>
        <v>338.19413170988122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4.5629350632893342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2.8678190193145552E-13</v>
      </c>
      <c r="AX127" s="21">
        <f t="shared" si="60"/>
        <v>4.5629350632896211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2.0572770154103635E-13</v>
      </c>
      <c r="BF127" s="13">
        <f t="shared" si="91"/>
        <v>2.8416956338469711E-12</v>
      </c>
      <c r="BG127" s="20">
        <f t="shared" si="61"/>
        <v>5.3075956424674458E-12</v>
      </c>
      <c r="BH127" s="59">
        <f t="shared" si="62"/>
        <v>293.3333333333386</v>
      </c>
      <c r="BI127" s="59">
        <f ca="1">AVERAGE(OFFSET($BH$3,0,0,'Données projet'!$E$11+1,1))-AVERAGE(OFFSET($H$3,0,0,'Données projet'!$E$11+1,1))</f>
        <v>436.23918637269577</v>
      </c>
      <c r="BJ127" s="59">
        <f t="shared" si="92"/>
        <v>611.43967996341894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2.3316660152343478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2.3316660152343478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4.0999999999999996</v>
      </c>
      <c r="BY127" s="12">
        <f>IF('Données projet'!$A$114&gt;35,BY126+BX127-CG126,IF(A127&lt;'Données projet'!$A$114,$BV$205^A127,IF(A127='Données projet'!$A$114,'Données projet'!$B$114,BY126+BX127-CG126)))</f>
        <v>343.39999999999975</v>
      </c>
      <c r="BZ127" s="13">
        <f>BY127*VLOOKUP('Données projet'!$B$12,Paramètres!$A$1:$I$89,3,0)*VLOOKUP('Données projet'!$B$12,Paramètres!$A$1:$I$89,5,0)</f>
        <v>289.2801599999998</v>
      </c>
      <c r="CA127" s="13">
        <f t="shared" si="93"/>
        <v>68.924436335316329</v>
      </c>
      <c r="CB127" s="20">
        <f t="shared" si="64"/>
        <v>623.87300528400885</v>
      </c>
      <c r="CC127" s="59">
        <f t="shared" si="65"/>
        <v>917.20633861734223</v>
      </c>
      <c r="CD127" s="59">
        <f ca="1">AVERAGE(OFFSET($CC$3,0,0,'Données projet'!$E$12+1,1))-AVERAGE(OFFSET($H$3,0,0,'Données projet'!$E$12+1,1))</f>
        <v>507.79096804746297</v>
      </c>
      <c r="CE127" s="59">
        <f t="shared" si="94"/>
        <v>312.67921212138998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39.789019673828776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39.789019673828776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318.97291652986593</v>
      </c>
      <c r="T128" s="59">
        <f t="shared" si="88"/>
        <v>338.19413170988122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9">
        <f t="shared" si="59"/>
        <v>293.33333333334014</v>
      </c>
      <c r="AN128" s="59">
        <f ca="1">AVERAGE(OFFSET($AM$3,0,0,'Données projet'!$E$10+1,1))-AVERAGE(OFFSET($H$3,0,0,'Données projet'!$E$10+1,1))</f>
        <v>318.97291652986593</v>
      </c>
      <c r="AO128" s="59">
        <f t="shared" si="90"/>
        <v>338.19413170988122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4.4734586898138087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2.0278542757730765E-13</v>
      </c>
      <c r="AX128" s="21">
        <f t="shared" si="60"/>
        <v>4.4734586898140112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2.0572770154103635E-13</v>
      </c>
      <c r="BF128" s="13">
        <f t="shared" si="91"/>
        <v>2.8416956338469711E-12</v>
      </c>
      <c r="BG128" s="20">
        <f t="shared" si="61"/>
        <v>5.3075956424674458E-12</v>
      </c>
      <c r="BH128" s="59">
        <f t="shared" si="62"/>
        <v>293.3333333333386</v>
      </c>
      <c r="BI128" s="59">
        <f ca="1">AVERAGE(OFFSET($BH$3,0,0,'Données projet'!$E$11+1,1))-AVERAGE(OFFSET($H$3,0,0,'Données projet'!$E$11+1,1))</f>
        <v>436.23918637269577</v>
      </c>
      <c r="BJ128" s="59">
        <f t="shared" si="92"/>
        <v>611.43967996341894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2.2859434668514433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2.2859434668514433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4.0999999999999996</v>
      </c>
      <c r="BY128" s="12">
        <f>IF('Données projet'!$A$114&gt;35,BY127+BX128-CG127,IF(A128&lt;'Données projet'!$A$114,$BV$205^A128,IF(A128='Données projet'!$A$114,'Données projet'!$B$114,BY127+BX128-CG127)))</f>
        <v>347.49999999999977</v>
      </c>
      <c r="BZ128" s="13">
        <f>BY128*VLOOKUP('Données projet'!$B$12,Paramètres!$A$1:$I$89,3,0)*VLOOKUP('Données projet'!$B$12,Paramètres!$A$1:$I$89,5,0)</f>
        <v>292.73399999999987</v>
      </c>
      <c r="CA128" s="13">
        <f t="shared" si="93"/>
        <v>69.651064026395645</v>
      </c>
      <c r="CB128" s="20">
        <f t="shared" si="64"/>
        <v>631.15398651263888</v>
      </c>
      <c r="CC128" s="59">
        <f t="shared" si="65"/>
        <v>924.48731984597225</v>
      </c>
      <c r="CD128" s="59">
        <f ca="1">AVERAGE(OFFSET($CC$3,0,0,'Données projet'!$E$12+1,1))-AVERAGE(OFFSET($H$3,0,0,'Données projet'!$E$12+1,1))</f>
        <v>507.79096804746297</v>
      </c>
      <c r="CE128" s="59">
        <f t="shared" si="94"/>
        <v>312.67921212138998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39.00878126693064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39.00878126693064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318.97291652986593</v>
      </c>
      <c r="T129" s="59">
        <f t="shared" si="88"/>
        <v>338.19413170988122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9">
        <f t="shared" si="59"/>
        <v>293.33333333334014</v>
      </c>
      <c r="AN129" s="59">
        <f ca="1">AVERAGE(OFFSET($AM$3,0,0,'Données projet'!$E$10+1,1))-AVERAGE(OFFSET($H$3,0,0,'Données projet'!$E$10+1,1))</f>
        <v>318.97291652986593</v>
      </c>
      <c r="AO129" s="59">
        <f t="shared" si="90"/>
        <v>338.19413170988122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4.3857368934469401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1.4339095096572776E-13</v>
      </c>
      <c r="AX129" s="21">
        <f t="shared" si="60"/>
        <v>4.3857368934470831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2.0572770154103635E-13</v>
      </c>
      <c r="BF129" s="13">
        <f t="shared" si="91"/>
        <v>2.8416956338469711E-12</v>
      </c>
      <c r="BG129" s="20">
        <f t="shared" si="61"/>
        <v>5.3075956424674458E-12</v>
      </c>
      <c r="BH129" s="59">
        <f t="shared" si="62"/>
        <v>293.3333333333386</v>
      </c>
      <c r="BI129" s="59">
        <f ca="1">AVERAGE(OFFSET($BH$3,0,0,'Données projet'!$E$11+1,1))-AVERAGE(OFFSET($H$3,0,0,'Données projet'!$E$11+1,1))</f>
        <v>436.23918637269577</v>
      </c>
      <c r="BJ129" s="59">
        <f t="shared" si="92"/>
        <v>611.43967996341894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2.2411175097543268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2.2411175097543268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4.0999999999999996</v>
      </c>
      <c r="BY129" s="12">
        <f>IF('Données projet'!$A$114&gt;35,BY128+BX129-CG128,IF(A129&lt;'Données projet'!$A$114,$BV$205^A129,IF(A129='Données projet'!$A$114,'Données projet'!$B$114,BY128+BX129-CG128)))</f>
        <v>351.5999999999998</v>
      </c>
      <c r="BZ129" s="13">
        <f>BY129*VLOOKUP('Données projet'!$B$12,Paramètres!$A$1:$I$89,3,0)*VLOOKUP('Données projet'!$B$12,Paramètres!$A$1:$I$89,5,0)</f>
        <v>296.18783999999982</v>
      </c>
      <c r="CA129" s="13">
        <f t="shared" si="93"/>
        <v>70.37669446196935</v>
      </c>
      <c r="CB129" s="20">
        <f t="shared" si="64"/>
        <v>638.43323085459633</v>
      </c>
      <c r="CC129" s="59">
        <f t="shared" si="65"/>
        <v>931.76656418792959</v>
      </c>
      <c r="CD129" s="59">
        <f ca="1">AVERAGE(OFFSET($CC$3,0,0,'Données projet'!$E$12+1,1))-AVERAGE(OFFSET($H$3,0,0,'Données projet'!$E$12+1,1))</f>
        <v>507.79096804746297</v>
      </c>
      <c r="CE129" s="59">
        <f t="shared" si="94"/>
        <v>312.67921212138998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38.243842859293338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38.243842859293338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318.97291652986593</v>
      </c>
      <c r="T130" s="59">
        <f t="shared" si="88"/>
        <v>338.19413170988122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9">
        <f t="shared" si="59"/>
        <v>293.33333333334014</v>
      </c>
      <c r="AN130" s="59">
        <f ca="1">AVERAGE(OFFSET($AM$3,0,0,'Données projet'!$E$10+1,1))-AVERAGE(OFFSET($H$3,0,0,'Données projet'!$E$10+1,1))</f>
        <v>318.97291652986593</v>
      </c>
      <c r="AO130" s="59">
        <f t="shared" si="90"/>
        <v>338.19413170988122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4.2997352680018128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1.0139271378865383E-13</v>
      </c>
      <c r="AX130" s="21">
        <f t="shared" si="60"/>
        <v>4.2997352680019141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2.0572770154103635E-13</v>
      </c>
      <c r="BF130" s="13">
        <f t="shared" si="91"/>
        <v>2.8416956338469711E-12</v>
      </c>
      <c r="BG130" s="20">
        <f t="shared" si="61"/>
        <v>5.3075956424674458E-12</v>
      </c>
      <c r="BH130" s="59">
        <f t="shared" si="62"/>
        <v>293.3333333333386</v>
      </c>
      <c r="BI130" s="59">
        <f ca="1">AVERAGE(OFFSET($BH$3,0,0,'Données projet'!$E$11+1,1))-AVERAGE(OFFSET($H$3,0,0,'Données projet'!$E$11+1,1))</f>
        <v>436.23918637269577</v>
      </c>
      <c r="BJ130" s="59">
        <f t="shared" si="92"/>
        <v>611.43967996341894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2.1971705623347506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2.1971705623347506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4.0999999999999996</v>
      </c>
      <c r="BY130" s="12">
        <f>IF('Données projet'!$A$114&gt;35,BY129+BX130-CG129,IF(A130&lt;'Données projet'!$A$114,$BV$205^A130,IF(A130='Données projet'!$A$114,'Données projet'!$B$114,BY129+BX130-CG129)))</f>
        <v>355.69999999999982</v>
      </c>
      <c r="BZ130" s="13">
        <f>BY130*VLOOKUP('Données projet'!$B$12,Paramètres!$A$1:$I$89,3,0)*VLOOKUP('Données projet'!$B$12,Paramètres!$A$1:$I$89,5,0)</f>
        <v>299.64167999999989</v>
      </c>
      <c r="CA130" s="13">
        <f t="shared" si="93"/>
        <v>71.101340616409487</v>
      </c>
      <c r="CB130" s="20">
        <f t="shared" si="64"/>
        <v>645.71076090691292</v>
      </c>
      <c r="CC130" s="59">
        <f t="shared" si="65"/>
        <v>939.0440942402463</v>
      </c>
      <c r="CD130" s="59">
        <f ca="1">AVERAGE(OFFSET($CC$3,0,0,'Données projet'!$E$12+1,1))-AVERAGE(OFFSET($H$3,0,0,'Données projet'!$E$12+1,1))</f>
        <v>507.79096804746297</v>
      </c>
      <c r="CE130" s="59">
        <f t="shared" si="94"/>
        <v>312.67921212138998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37.493904427263445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37.493904427263445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318.97291652986593</v>
      </c>
      <c r="T131" s="59">
        <f t="shared" si="88"/>
        <v>338.19413170988122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9">
        <f t="shared" si="59"/>
        <v>293.33333333334014</v>
      </c>
      <c r="AN131" s="59">
        <f ca="1">AVERAGE(OFFSET($AM$3,0,0,'Données projet'!$E$10+1,1))-AVERAGE(OFFSET($H$3,0,0,'Données projet'!$E$10+1,1))</f>
        <v>318.97291652986593</v>
      </c>
      <c r="AO131" s="59">
        <f t="shared" si="90"/>
        <v>338.19413170988122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4.2154200819758527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7.1695475482863881E-14</v>
      </c>
      <c r="AX131" s="21">
        <f t="shared" si="60"/>
        <v>4.2154200819759247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2.0572770154103635E-13</v>
      </c>
      <c r="BF131" s="13">
        <f t="shared" si="91"/>
        <v>2.8416956338469711E-12</v>
      </c>
      <c r="BG131" s="20">
        <f t="shared" si="61"/>
        <v>5.3075956424674458E-12</v>
      </c>
      <c r="BH131" s="59">
        <f t="shared" si="62"/>
        <v>293.3333333333386</v>
      </c>
      <c r="BI131" s="59">
        <f ca="1">AVERAGE(OFFSET($BH$3,0,0,'Données projet'!$E$11+1,1))-AVERAGE(OFFSET($H$3,0,0,'Données projet'!$E$11+1,1))</f>
        <v>436.23918637269577</v>
      </c>
      <c r="BJ131" s="59">
        <f t="shared" si="92"/>
        <v>611.43967996341894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2.1540853877490811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2.1540853877490811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4.0999999999999996</v>
      </c>
      <c r="BY131" s="12">
        <f>IF('Données projet'!$A$114&gt;35,BY130+BX131-CG130,IF(A131&lt;'Données projet'!$A$114,$BV$205^A131,IF(A131='Données projet'!$A$114,'Données projet'!$B$114,BY130+BX131-CG130)))</f>
        <v>359.79999999999984</v>
      </c>
      <c r="BZ131" s="13">
        <f>BY131*VLOOKUP('Données projet'!$B$12,Paramètres!$A$1:$I$89,3,0)*VLOOKUP('Données projet'!$B$12,Paramètres!$A$1:$I$89,5,0)</f>
        <v>303.09551999999991</v>
      </c>
      <c r="CA131" s="13">
        <f t="shared" si="93"/>
        <v>71.825015147771637</v>
      </c>
      <c r="CB131" s="20">
        <f t="shared" si="64"/>
        <v>652.98659871570203</v>
      </c>
      <c r="CC131" s="59">
        <f t="shared" si="65"/>
        <v>946.31993204903529</v>
      </c>
      <c r="CD131" s="59">
        <f ca="1">AVERAGE(OFFSET($CC$3,0,0,'Données projet'!$E$12+1,1))-AVERAGE(OFFSET($H$3,0,0,'Données projet'!$E$12+1,1))</f>
        <v>507.79096804746297</v>
      </c>
      <c r="CE131" s="59">
        <f t="shared" si="94"/>
        <v>312.67921212138998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36.75867183046838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36.75867183046838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318.97291652986593</v>
      </c>
      <c r="T132" s="59">
        <f t="shared" si="88"/>
        <v>338.19413170988122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9">
        <f t="shared" ref="AM132:AM195" si="113">AL132+(AD132+AE132)*44/12</f>
        <v>293.33333333334014</v>
      </c>
      <c r="AN132" s="59">
        <f ca="1">AVERAGE(OFFSET($AM$3,0,0,'Données projet'!$E$10+1,1))-AVERAGE(OFFSET($H$3,0,0,'Données projet'!$E$10+1,1))</f>
        <v>318.97291652986593</v>
      </c>
      <c r="AO132" s="59">
        <f t="shared" si="90"/>
        <v>338.19413170988122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4.1327582653206765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5.0696356894326914E-14</v>
      </c>
      <c r="AX132" s="21">
        <f t="shared" ref="AX132:AX153" si="114">SUM(AU132:AW132)</f>
        <v>4.1327582653207271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2.0572770154103635E-13</v>
      </c>
      <c r="BF132" s="13">
        <f t="shared" si="91"/>
        <v>2.8416956338469711E-12</v>
      </c>
      <c r="BG132" s="20">
        <f t="shared" ref="BG132:BG153" si="115">(BE132+BF132)*0.475*44/12</f>
        <v>5.3075956424674458E-12</v>
      </c>
      <c r="BH132" s="59">
        <f t="shared" ref="BH132:BH195" si="116">BG132+(AY132+AZ132)*44/12</f>
        <v>293.3333333333386</v>
      </c>
      <c r="BI132" s="59">
        <f ca="1">AVERAGE(OFFSET($BH$3,0,0,'Données projet'!$E$11+1,1))-AVERAGE(OFFSET($H$3,0,0,'Données projet'!$E$11+1,1))</f>
        <v>436.23918637269577</v>
      </c>
      <c r="BJ132" s="59">
        <f t="shared" si="92"/>
        <v>611.43967996341894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2.111845087157675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2.111845087157675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4.0999999999999996</v>
      </c>
      <c r="BY132" s="12">
        <f>IF('Données projet'!$A$114&gt;35,BY131+BX132-CG131,IF(A132&lt;'Données projet'!$A$114,$BV$205^A132,IF(A132='Données projet'!$A$114,'Données projet'!$B$114,BY131+BX132-CG131)))</f>
        <v>363.89999999999986</v>
      </c>
      <c r="BZ132" s="13">
        <f>BY132*VLOOKUP('Données projet'!$B$12,Paramètres!$A$1:$I$89,3,0)*VLOOKUP('Données projet'!$B$12,Paramètres!$A$1:$I$89,5,0)</f>
        <v>306.54935999999992</v>
      </c>
      <c r="CA132" s="13">
        <f t="shared" si="93"/>
        <v>72.547730409021852</v>
      </c>
      <c r="CB132" s="20">
        <f t="shared" ref="CB132:CB153" si="118">(BZ132+CA132)*0.475*44/12</f>
        <v>660.26076579571293</v>
      </c>
      <c r="CC132" s="59">
        <f t="shared" ref="CC132:CC195" si="119">CB132+(BT132+BU132)*44/12</f>
        <v>953.5940991290463</v>
      </c>
      <c r="CD132" s="59">
        <f ca="1">AVERAGE(OFFSET($CC$3,0,0,'Données projet'!$E$12+1,1))-AVERAGE(OFFSET($H$3,0,0,'Données projet'!$E$12+1,1))</f>
        <v>507.79096804746297</v>
      </c>
      <c r="CE132" s="59">
        <f t="shared" si="94"/>
        <v>312.67921212138998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36.037856696448863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36.037856696448863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318.97291652986593</v>
      </c>
      <c r="T133" s="59">
        <f t="shared" ref="T133:T196" si="142">$T$3</f>
        <v>338.19413170988122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9">
        <f t="shared" si="113"/>
        <v>293.33333333334014</v>
      </c>
      <c r="AN133" s="59">
        <f ca="1">AVERAGE(OFFSET($AM$3,0,0,'Données projet'!$E$10+1,1))-AVERAGE(OFFSET($H$3,0,0,'Données projet'!$E$10+1,1))</f>
        <v>318.97291652986593</v>
      </c>
      <c r="AO133" s="59">
        <f t="shared" ref="AO133:AO196" si="144">$AO$3</f>
        <v>338.19413170988122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4.0517173964713784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3.5847737741431941E-14</v>
      </c>
      <c r="AX133" s="21">
        <f t="shared" si="114"/>
        <v>4.0517173964714139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2.0572770154103635E-13</v>
      </c>
      <c r="BF133" s="13">
        <f t="shared" ref="BF133:BF153" si="145">EXP(-1.0587+0.8836*LN(BE133)+0.284)</f>
        <v>2.8416956338469711E-12</v>
      </c>
      <c r="BG133" s="20">
        <f t="shared" si="115"/>
        <v>5.3075956424674458E-12</v>
      </c>
      <c r="BH133" s="59">
        <f t="shared" si="116"/>
        <v>293.3333333333386</v>
      </c>
      <c r="BI133" s="59">
        <f ca="1">AVERAGE(OFFSET($BH$3,0,0,'Données projet'!$E$11+1,1))-AVERAGE(OFFSET($H$3,0,0,'Données projet'!$E$11+1,1))</f>
        <v>436.23918637269577</v>
      </c>
      <c r="BJ133" s="59">
        <f t="shared" ref="BJ133:BJ196" si="146">$BJ$3</f>
        <v>611.43967996341894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2.0704330930968271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2.0704330930968271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368</v>
      </c>
      <c r="BW133" s="12">
        <f>VLOOKUP(A133,'Données projet'!$A$113:$I$133,9,0)</f>
        <v>4.0999999999999996</v>
      </c>
      <c r="BX133" s="12">
        <f t="array" ref="BX133">INDEX(BW:BW,MIN(IF(ISNUMBER(BW133:BW329),ROW(BW133:BW329),"")))</f>
        <v>4.0999999999999996</v>
      </c>
      <c r="BY133" s="12">
        <f>IF('Données projet'!$A$114&gt;35,BY132+BX133-CG132,IF(A133&lt;'Données projet'!$A$114,$BV$205^A133,IF(A133='Données projet'!$A$114,'Données projet'!$B$114,BY132+BX133-CG132)))</f>
        <v>367.99999999999989</v>
      </c>
      <c r="BZ133" s="13">
        <f>BY133*VLOOKUP('Données projet'!$B$12,Paramètres!$A$1:$I$89,3,0)*VLOOKUP('Données projet'!$B$12,Paramètres!$A$1:$I$89,5,0)</f>
        <v>310.00319999999994</v>
      </c>
      <c r="CA133" s="13">
        <f t="shared" ref="CA133:CA153" si="147">EXP(-1.0587+0.8836*LN(BZ133)+0.284)</f>
        <v>73.269498458742788</v>
      </c>
      <c r="CB133" s="20">
        <f t="shared" si="118"/>
        <v>667.53328314897692</v>
      </c>
      <c r="CC133" s="59">
        <f t="shared" si="119"/>
        <v>960.86661648231029</v>
      </c>
      <c r="CD133" s="59">
        <f ca="1">AVERAGE(OFFSET($CC$3,0,0,'Données projet'!$E$12+1,1))-AVERAGE(OFFSET($H$3,0,0,'Données projet'!$E$12+1,1))</f>
        <v>507.79096804746297</v>
      </c>
      <c r="CE133" s="59">
        <f t="shared" ref="CE133:CE196" si="148">$CE$3</f>
        <v>312.67921212138998</v>
      </c>
      <c r="CF133" s="15">
        <f>IF(ISNA(VLOOKUP(A133,'Données projet'!$A$113:$I$133,3,0)),0,VLOOKUP(A133,'Données projet'!$A$113:$I$133,3,0))</f>
        <v>12</v>
      </c>
      <c r="CG133" s="15">
        <f>IF(ISNA(VLOOKUP(A133,'Données projet'!$A$113:$I$133,4,0)),0,VLOOKUP(A133,'Données projet'!$A$113:$I$133,4,0))</f>
        <v>44</v>
      </c>
      <c r="CH133" s="16">
        <f>IF(ISNA(VLOOKUP(A133,'Données projet'!$A$113:$I$133,5,0)),0%,VLOOKUP(A133,'Données projet'!$A$113:$I$133,5,0)*VLOOKUP('Données projet'!$B$12,Paramètres!$A$1:$I$89,7,0))</f>
        <v>0.43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52.950393154388749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52.950393154388749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318.97291652986593</v>
      </c>
      <c r="T134" s="59">
        <f t="shared" si="142"/>
        <v>338.19413170988122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9">
        <f t="shared" si="113"/>
        <v>293.33333333334014</v>
      </c>
      <c r="AN134" s="59">
        <f ca="1">AVERAGE(OFFSET($AM$3,0,0,'Données projet'!$E$10+1,1))-AVERAGE(OFFSET($H$3,0,0,'Données projet'!$E$10+1,1))</f>
        <v>318.97291652986593</v>
      </c>
      <c r="AO134" s="59">
        <f t="shared" si="144"/>
        <v>338.19413170988122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3.9722656896301656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2.5348178447163457E-14</v>
      </c>
      <c r="AX134" s="21">
        <f t="shared" si="114"/>
        <v>3.9722656896301909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2.0572770154103635E-13</v>
      </c>
      <c r="BF134" s="13">
        <f t="shared" si="145"/>
        <v>2.8416956338469711E-12</v>
      </c>
      <c r="BG134" s="20">
        <f t="shared" si="115"/>
        <v>5.3075956424674458E-12</v>
      </c>
      <c r="BH134" s="59">
        <f t="shared" si="116"/>
        <v>293.3333333333386</v>
      </c>
      <c r="BI134" s="59">
        <f ca="1">AVERAGE(OFFSET($BH$3,0,0,'Données projet'!$E$11+1,1))-AVERAGE(OFFSET($H$3,0,0,'Données projet'!$E$11+1,1))</f>
        <v>436.23918637269577</v>
      </c>
      <c r="BJ134" s="59">
        <f t="shared" si="146"/>
        <v>611.43967996341894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2.0298331629806903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2.0298331629806903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3.8</v>
      </c>
      <c r="BY134" s="12">
        <f>IF('Données projet'!$A$114&gt;35,BY133+BX134-CG133,IF(A134&lt;'Données projet'!$A$114,$BV$205^A134,IF(A134='Données projet'!$A$114,'Données projet'!$B$114,BY133+BX134-CG133)))</f>
        <v>327.7999999999999</v>
      </c>
      <c r="BZ134" s="13">
        <f>BY134*VLOOKUP('Données projet'!$B$12,Paramètres!$A$1:$I$89,3,0)*VLOOKUP('Données projet'!$B$12,Paramètres!$A$1:$I$89,5,0)</f>
        <v>276.13871999999992</v>
      </c>
      <c r="CA134" s="13">
        <f t="shared" si="147"/>
        <v>66.150351116005822</v>
      </c>
      <c r="CB134" s="20">
        <f t="shared" si="118"/>
        <v>596.15346552704329</v>
      </c>
      <c r="CC134" s="59">
        <f t="shared" si="119"/>
        <v>889.48679886037667</v>
      </c>
      <c r="CD134" s="59">
        <f ca="1">AVERAGE(OFFSET($CC$3,0,0,'Données projet'!$E$12+1,1))-AVERAGE(OFFSET($H$3,0,0,'Données projet'!$E$12+1,1))</f>
        <v>507.79096804746297</v>
      </c>
      <c r="CE134" s="59">
        <f t="shared" si="148"/>
        <v>312.67921212138998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51.912068241181991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51.912068241181991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318.97291652986593</v>
      </c>
      <c r="T135" s="59">
        <f t="shared" si="142"/>
        <v>338.19413170988122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9">
        <f t="shared" si="113"/>
        <v>293.33333333334014</v>
      </c>
      <c r="AN135" s="59">
        <f ca="1">AVERAGE(OFFSET($AM$3,0,0,'Données projet'!$E$10+1,1))-AVERAGE(OFFSET($H$3,0,0,'Données projet'!$E$10+1,1))</f>
        <v>318.97291652986593</v>
      </c>
      <c r="AO135" s="59">
        <f t="shared" si="144"/>
        <v>338.19413170988122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3.894371982299353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1.792386887071597E-14</v>
      </c>
      <c r="AX135" s="21">
        <f t="shared" si="114"/>
        <v>3.8943719822993708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2.0572770154103635E-13</v>
      </c>
      <c r="BF135" s="13">
        <f t="shared" si="145"/>
        <v>2.8416956338469711E-12</v>
      </c>
      <c r="BG135" s="20">
        <f t="shared" si="115"/>
        <v>5.3075956424674458E-12</v>
      </c>
      <c r="BH135" s="59">
        <f t="shared" si="116"/>
        <v>293.3333333333386</v>
      </c>
      <c r="BI135" s="59">
        <f ca="1">AVERAGE(OFFSET($BH$3,0,0,'Données projet'!$E$11+1,1))-AVERAGE(OFFSET($H$3,0,0,'Données projet'!$E$11+1,1))</f>
        <v>436.23918637269577</v>
      </c>
      <c r="BJ135" s="59">
        <f t="shared" si="146"/>
        <v>611.43967996341894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1.9900293727306184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1.9900293727306184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3.8</v>
      </c>
      <c r="BY135" s="12">
        <f>IF('Données projet'!$A$114&gt;35,BY134+BX135-CG134,IF(A135&lt;'Données projet'!$A$114,$BV$205^A135,IF(A135='Données projet'!$A$114,'Données projet'!$B$114,BY134+BX135-CG134)))</f>
        <v>331.59999999999991</v>
      </c>
      <c r="BZ135" s="13">
        <f>BY135*VLOOKUP('Données projet'!$B$12,Paramètres!$A$1:$I$89,3,0)*VLOOKUP('Données projet'!$B$12,Paramètres!$A$1:$I$89,5,0)</f>
        <v>279.33983999999998</v>
      </c>
      <c r="CA135" s="13">
        <f t="shared" si="147"/>
        <v>66.827478935410426</v>
      </c>
      <c r="CB135" s="20">
        <f t="shared" si="118"/>
        <v>602.90808047917312</v>
      </c>
      <c r="CC135" s="59">
        <f t="shared" si="119"/>
        <v>896.24141381250638</v>
      </c>
      <c r="CD135" s="59">
        <f ca="1">AVERAGE(OFFSET($CC$3,0,0,'Données projet'!$E$12+1,1))-AVERAGE(OFFSET($H$3,0,0,'Données projet'!$E$12+1,1))</f>
        <v>507.79096804746297</v>
      </c>
      <c r="CE135" s="59">
        <f t="shared" si="148"/>
        <v>312.67921212138998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50.894104246207554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50.894104246207554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318.97291652986593</v>
      </c>
      <c r="T136" s="59">
        <f t="shared" si="142"/>
        <v>338.19413170988122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9">
        <f t="shared" si="113"/>
        <v>293.33333333334014</v>
      </c>
      <c r="AN136" s="59">
        <f ca="1">AVERAGE(OFFSET($AM$3,0,0,'Données projet'!$E$10+1,1))-AVERAGE(OFFSET($H$3,0,0,'Données projet'!$E$10+1,1))</f>
        <v>318.97291652986593</v>
      </c>
      <c r="AO136" s="59">
        <f t="shared" si="144"/>
        <v>338.19413170988122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3.8180057230588273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1.2674089223581728E-14</v>
      </c>
      <c r="AX136" s="21">
        <f t="shared" si="114"/>
        <v>3.8180057230588402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2.0572770154103635E-13</v>
      </c>
      <c r="BF136" s="13">
        <f t="shared" si="145"/>
        <v>2.8416956338469711E-12</v>
      </c>
      <c r="BG136" s="20">
        <f t="shared" si="115"/>
        <v>5.3075956424674458E-12</v>
      </c>
      <c r="BH136" s="59">
        <f t="shared" si="116"/>
        <v>293.3333333333386</v>
      </c>
      <c r="BI136" s="59">
        <f ca="1">AVERAGE(OFFSET($BH$3,0,0,'Données projet'!$E$11+1,1))-AVERAGE(OFFSET($H$3,0,0,'Données projet'!$E$11+1,1))</f>
        <v>436.23918637269577</v>
      </c>
      <c r="BJ136" s="59">
        <f t="shared" si="146"/>
        <v>611.43967996341894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1.9510061105294358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1.9510061105294358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3.8</v>
      </c>
      <c r="BY136" s="12">
        <f>IF('Données projet'!$A$114&gt;35,BY135+BX136-CG135,IF(A136&lt;'Données projet'!$A$114,$BV$205^A136,IF(A136='Données projet'!$A$114,'Données projet'!$B$114,BY135+BX136-CG135)))</f>
        <v>335.39999999999992</v>
      </c>
      <c r="BZ136" s="13">
        <f>BY136*VLOOKUP('Données projet'!$B$12,Paramètres!$A$1:$I$89,3,0)*VLOOKUP('Données projet'!$B$12,Paramètres!$A$1:$I$89,5,0)</f>
        <v>282.54095999999993</v>
      </c>
      <c r="CA136" s="13">
        <f t="shared" si="147"/>
        <v>67.503704117788104</v>
      </c>
      <c r="CB136" s="20">
        <f t="shared" si="118"/>
        <v>609.66112333848082</v>
      </c>
      <c r="CC136" s="59">
        <f t="shared" si="119"/>
        <v>902.99445667181408</v>
      </c>
      <c r="CD136" s="59">
        <f ca="1">AVERAGE(OFFSET($CC$3,0,0,'Données projet'!$E$12+1,1))-AVERAGE(OFFSET($H$3,0,0,'Données projet'!$E$12+1,1))</f>
        <v>507.79096804746297</v>
      </c>
      <c r="CE136" s="59">
        <f t="shared" si="148"/>
        <v>312.67921212138998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49.896101904277835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49.896101904277835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318.97291652986593</v>
      </c>
      <c r="T137" s="59">
        <f t="shared" si="142"/>
        <v>338.19413170988122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9">
        <f t="shared" si="113"/>
        <v>293.33333333334014</v>
      </c>
      <c r="AN137" s="59">
        <f ca="1">AVERAGE(OFFSET($AM$3,0,0,'Données projet'!$E$10+1,1))-AVERAGE(OFFSET($H$3,0,0,'Données projet'!$E$10+1,1))</f>
        <v>318.97291652986593</v>
      </c>
      <c r="AO137" s="59">
        <f t="shared" si="144"/>
        <v>338.19413170988122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3.7431369595831896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8.9619344353579851E-15</v>
      </c>
      <c r="AX137" s="21">
        <f t="shared" si="114"/>
        <v>3.7431369595831985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2.0572770154103635E-13</v>
      </c>
      <c r="BF137" s="13">
        <f t="shared" si="145"/>
        <v>2.8416956338469711E-12</v>
      </c>
      <c r="BG137" s="20">
        <f t="shared" si="115"/>
        <v>5.3075956424674458E-12</v>
      </c>
      <c r="BH137" s="59">
        <f t="shared" si="116"/>
        <v>293.3333333333386</v>
      </c>
      <c r="BI137" s="59">
        <f ca="1">AVERAGE(OFFSET($BH$3,0,0,'Données projet'!$E$11+1,1))-AVERAGE(OFFSET($H$3,0,0,'Données projet'!$E$11+1,1))</f>
        <v>436.23918637269577</v>
      </c>
      <c r="BJ137" s="59">
        <f t="shared" si="146"/>
        <v>611.43967996341894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1.9127480706981788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1.9127480706981788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3.8</v>
      </c>
      <c r="BY137" s="12">
        <f>IF('Données projet'!$A$114&gt;35,BY136+BX137-CG136,IF(A137&lt;'Données projet'!$A$114,$BV$205^A137,IF(A137='Données projet'!$A$114,'Données projet'!$B$114,BY136+BX137-CG136)))</f>
        <v>339.19999999999993</v>
      </c>
      <c r="BZ137" s="13">
        <f>BY137*VLOOKUP('Données projet'!$B$12,Paramètres!$A$1:$I$89,3,0)*VLOOKUP('Données projet'!$B$12,Paramètres!$A$1:$I$89,5,0)</f>
        <v>285.74207999999999</v>
      </c>
      <c r="CA137" s="13">
        <f t="shared" si="147"/>
        <v>68.179038073144469</v>
      </c>
      <c r="CB137" s="20">
        <f t="shared" si="118"/>
        <v>616.41261397739322</v>
      </c>
      <c r="CC137" s="59">
        <f t="shared" si="119"/>
        <v>909.74594731072648</v>
      </c>
      <c r="CD137" s="59">
        <f ca="1">AVERAGE(OFFSET($CC$3,0,0,'Données projet'!$E$12+1,1))-AVERAGE(OFFSET($H$3,0,0,'Données projet'!$E$12+1,1))</f>
        <v>507.79096804746297</v>
      </c>
      <c r="CE137" s="59">
        <f t="shared" si="148"/>
        <v>312.67921212138998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48.917669779552035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48.917669779552035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318.97291652986593</v>
      </c>
      <c r="T138" s="59">
        <f t="shared" si="142"/>
        <v>338.19413170988122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9">
        <f t="shared" si="113"/>
        <v>293.33333333334014</v>
      </c>
      <c r="AN138" s="59">
        <f ca="1">AVERAGE(OFFSET($AM$3,0,0,'Données projet'!$E$10+1,1))-AVERAGE(OFFSET($H$3,0,0,'Données projet'!$E$10+1,1))</f>
        <v>318.97291652986593</v>
      </c>
      <c r="AO138" s="59">
        <f t="shared" si="144"/>
        <v>338.19413170988122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3.6697363268938723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6.3370446117908642E-15</v>
      </c>
      <c r="AX138" s="21">
        <f t="shared" si="114"/>
        <v>3.6697363268938785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2.0572770154103635E-13</v>
      </c>
      <c r="BF138" s="13">
        <f t="shared" si="145"/>
        <v>2.8416956338469711E-12</v>
      </c>
      <c r="BG138" s="20">
        <f t="shared" si="115"/>
        <v>5.3075956424674458E-12</v>
      </c>
      <c r="BH138" s="59">
        <f t="shared" si="116"/>
        <v>293.3333333333386</v>
      </c>
      <c r="BI138" s="59">
        <f ca="1">AVERAGE(OFFSET($BH$3,0,0,'Données projet'!$E$11+1,1))-AVERAGE(OFFSET($H$3,0,0,'Données projet'!$E$11+1,1))</f>
        <v>436.23918637269577</v>
      </c>
      <c r="BJ138" s="59">
        <f t="shared" si="146"/>
        <v>611.43967996341894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1.8752402476929124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1.8752402476929124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3.8</v>
      </c>
      <c r="BY138" s="12">
        <f>IF('Données projet'!$A$114&gt;35,BY137+BX138-CG137,IF(A138&lt;'Données projet'!$A$114,$BV$205^A138,IF(A138='Données projet'!$A$114,'Données projet'!$B$114,BY137+BX138-CG137)))</f>
        <v>342.99999999999994</v>
      </c>
      <c r="BZ138" s="13">
        <f>BY138*VLOOKUP('Données projet'!$B$12,Paramètres!$A$1:$I$89,3,0)*VLOOKUP('Données projet'!$B$12,Paramètres!$A$1:$I$89,5,0)</f>
        <v>288.94319999999999</v>
      </c>
      <c r="CA138" s="13">
        <f t="shared" si="147"/>
        <v>68.853491941116729</v>
      </c>
      <c r="CB138" s="20">
        <f t="shared" si="118"/>
        <v>623.16257179744491</v>
      </c>
      <c r="CC138" s="59">
        <f t="shared" si="119"/>
        <v>916.49590513077828</v>
      </c>
      <c r="CD138" s="59">
        <f ca="1">AVERAGE(OFFSET($CC$3,0,0,'Données projet'!$E$12+1,1))-AVERAGE(OFFSET($H$3,0,0,'Données projet'!$E$12+1,1))</f>
        <v>507.79096804746297</v>
      </c>
      <c r="CE138" s="59">
        <f t="shared" si="148"/>
        <v>312.67921212138998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47.958424112007442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47.958424112007442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318.97291652986593</v>
      </c>
      <c r="T139" s="59">
        <f t="shared" si="142"/>
        <v>338.19413170988122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9">
        <f t="shared" si="113"/>
        <v>293.33333333334014</v>
      </c>
      <c r="AN139" s="59">
        <f ca="1">AVERAGE(OFFSET($AM$3,0,0,'Données projet'!$E$10+1,1))-AVERAGE(OFFSET($H$3,0,0,'Données projet'!$E$10+1,1))</f>
        <v>318.97291652986593</v>
      </c>
      <c r="AO139" s="59">
        <f t="shared" si="144"/>
        <v>338.19413170988122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3.5977750358416274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4.4809672176789926E-15</v>
      </c>
      <c r="AX139" s="21">
        <f t="shared" si="114"/>
        <v>3.5977750358416318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2.0572770154103635E-13</v>
      </c>
      <c r="BF139" s="13">
        <f t="shared" si="145"/>
        <v>2.8416956338469711E-12</v>
      </c>
      <c r="BG139" s="20">
        <f t="shared" si="115"/>
        <v>5.3075956424674458E-12</v>
      </c>
      <c r="BH139" s="59">
        <f t="shared" si="116"/>
        <v>293.3333333333386</v>
      </c>
      <c r="BI139" s="59">
        <f ca="1">AVERAGE(OFFSET($BH$3,0,0,'Données projet'!$E$11+1,1))-AVERAGE(OFFSET($H$3,0,0,'Données projet'!$E$11+1,1))</f>
        <v>436.23918637269577</v>
      </c>
      <c r="BJ139" s="59">
        <f t="shared" si="146"/>
        <v>611.43967996341894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1.8384679302192664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1.8384679302192664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3.8</v>
      </c>
      <c r="BY139" s="12">
        <f>IF('Données projet'!$A$114&gt;35,BY138+BX139-CG138,IF(A139&lt;'Données projet'!$A$114,$BV$205^A139,IF(A139='Données projet'!$A$114,'Données projet'!$B$114,BY138+BX139-CG138)))</f>
        <v>346.79999999999995</v>
      </c>
      <c r="BZ139" s="13">
        <f>BY139*VLOOKUP('Données projet'!$B$12,Paramètres!$A$1:$I$89,3,0)*VLOOKUP('Données projet'!$B$12,Paramètres!$A$1:$I$89,5,0)</f>
        <v>292.14431999999999</v>
      </c>
      <c r="CA139" s="13">
        <f t="shared" si="147"/>
        <v>69.527076600303857</v>
      </c>
      <c r="CB139" s="20">
        <f t="shared" si="118"/>
        <v>629.9110157455292</v>
      </c>
      <c r="CC139" s="59">
        <f t="shared" si="119"/>
        <v>923.24434907886257</v>
      </c>
      <c r="CD139" s="59">
        <f ca="1">AVERAGE(OFFSET($CC$3,0,0,'Données projet'!$E$12+1,1))-AVERAGE(OFFSET($H$3,0,0,'Données projet'!$E$12+1,1))</f>
        <v>507.79096804746297</v>
      </c>
      <c r="CE139" s="59">
        <f t="shared" si="148"/>
        <v>312.67921212138998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47.017988666921312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47.017988666921312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318.97291652986593</v>
      </c>
      <c r="T140" s="59">
        <f t="shared" si="142"/>
        <v>338.19413170988122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9">
        <f t="shared" si="113"/>
        <v>293.33333333334014</v>
      </c>
      <c r="AN140" s="59">
        <f ca="1">AVERAGE(OFFSET($AM$3,0,0,'Données projet'!$E$10+1,1))-AVERAGE(OFFSET($H$3,0,0,'Données projet'!$E$10+1,1))</f>
        <v>318.97291652986593</v>
      </c>
      <c r="AO140" s="59">
        <f t="shared" si="144"/>
        <v>338.19413170988122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3.5272248618148634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3.1685223058954321E-15</v>
      </c>
      <c r="AX140" s="21">
        <f t="shared" si="114"/>
        <v>3.5272248618148665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2.0572770154103635E-13</v>
      </c>
      <c r="BF140" s="13">
        <f t="shared" si="145"/>
        <v>2.8416956338469711E-12</v>
      </c>
      <c r="BG140" s="20">
        <f t="shared" si="115"/>
        <v>5.3075956424674458E-12</v>
      </c>
      <c r="BH140" s="59">
        <f t="shared" si="116"/>
        <v>293.3333333333386</v>
      </c>
      <c r="BI140" s="59">
        <f ca="1">AVERAGE(OFFSET($BH$3,0,0,'Données projet'!$E$11+1,1))-AVERAGE(OFFSET($H$3,0,0,'Données projet'!$E$11+1,1))</f>
        <v>436.23918637269577</v>
      </c>
      <c r="BJ140" s="59">
        <f t="shared" si="146"/>
        <v>611.43967996341894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1.8024166954623795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1.8024166954623795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3.8</v>
      </c>
      <c r="BY140" s="12">
        <f>IF('Données projet'!$A$114&gt;35,BY139+BX140-CG139,IF(A140&lt;'Données projet'!$A$114,$BV$205^A140,IF(A140='Données projet'!$A$114,'Données projet'!$B$114,BY139+BX140-CG139)))</f>
        <v>350.59999999999997</v>
      </c>
      <c r="BZ140" s="13">
        <f>BY140*VLOOKUP('Données projet'!$B$12,Paramètres!$A$1:$I$89,3,0)*VLOOKUP('Données projet'!$B$12,Paramètres!$A$1:$I$89,5,0)</f>
        <v>295.34544</v>
      </c>
      <c r="CA140" s="13">
        <f t="shared" si="147"/>
        <v>70.199802677174929</v>
      </c>
      <c r="CB140" s="20">
        <f t="shared" si="118"/>
        <v>636.65796432941295</v>
      </c>
      <c r="CC140" s="59">
        <f t="shared" si="119"/>
        <v>929.99129766274632</v>
      </c>
      <c r="CD140" s="59">
        <f ca="1">AVERAGE(OFFSET($CC$3,0,0,'Données projet'!$E$12+1,1))-AVERAGE(OFFSET($H$3,0,0,'Données projet'!$E$12+1,1))</f>
        <v>507.79096804746297</v>
      </c>
      <c r="CE140" s="59">
        <f t="shared" si="148"/>
        <v>312.67921212138998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46.09599458730434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46.09599458730434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318.97291652986593</v>
      </c>
      <c r="T141" s="59">
        <f t="shared" si="142"/>
        <v>338.19413170988122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9">
        <f t="shared" si="113"/>
        <v>293.33333333334014</v>
      </c>
      <c r="AN141" s="59">
        <f ca="1">AVERAGE(OFFSET($AM$3,0,0,'Données projet'!$E$10+1,1))-AVERAGE(OFFSET($H$3,0,0,'Données projet'!$E$10+1,1))</f>
        <v>318.97291652986593</v>
      </c>
      <c r="AO141" s="59">
        <f t="shared" si="144"/>
        <v>338.19413170988122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3.458058133669407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2.2404836088394963E-15</v>
      </c>
      <c r="AX141" s="21">
        <f t="shared" si="114"/>
        <v>3.4580581336694092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2.0572770154103635E-13</v>
      </c>
      <c r="BF141" s="13">
        <f t="shared" si="145"/>
        <v>2.8416956338469711E-12</v>
      </c>
      <c r="BG141" s="20">
        <f t="shared" si="115"/>
        <v>5.3075956424674458E-12</v>
      </c>
      <c r="BH141" s="59">
        <f t="shared" si="116"/>
        <v>293.3333333333386</v>
      </c>
      <c r="BI141" s="59">
        <f ca="1">AVERAGE(OFFSET($BH$3,0,0,'Données projet'!$E$11+1,1))-AVERAGE(OFFSET($H$3,0,0,'Données projet'!$E$11+1,1))</f>
        <v>436.23918637269577</v>
      </c>
      <c r="BJ141" s="59">
        <f t="shared" si="146"/>
        <v>611.43967996341894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1.7670724034299932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1.7670724034299932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3.8</v>
      </c>
      <c r="BY141" s="12">
        <f>IF('Données projet'!$A$114&gt;35,BY140+BX141-CG140,IF(A141&lt;'Données projet'!$A$114,$BV$205^A141,IF(A141='Données projet'!$A$114,'Données projet'!$B$114,BY140+BX141-CG140)))</f>
        <v>354.4</v>
      </c>
      <c r="BZ141" s="13">
        <f>BY141*VLOOKUP('Données projet'!$B$12,Paramètres!$A$1:$I$89,3,0)*VLOOKUP('Données projet'!$B$12,Paramètres!$A$1:$I$89,5,0)</f>
        <v>298.54656</v>
      </c>
      <c r="CA141" s="13">
        <f t="shared" si="147"/>
        <v>70.871680554580649</v>
      </c>
      <c r="CB141" s="20">
        <f t="shared" si="118"/>
        <v>643.40343563256113</v>
      </c>
      <c r="CC141" s="59">
        <f t="shared" si="119"/>
        <v>936.7367689658945</v>
      </c>
      <c r="CD141" s="59">
        <f ca="1">AVERAGE(OFFSET($CC$3,0,0,'Données projet'!$E$12+1,1))-AVERAGE(OFFSET($H$3,0,0,'Données projet'!$E$12+1,1))</f>
        <v>507.79096804746297</v>
      </c>
      <c r="CE141" s="59">
        <f t="shared" si="148"/>
        <v>312.67921212138998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45.1920802492278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45.1920802492278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318.97291652986593</v>
      </c>
      <c r="T142" s="59">
        <f t="shared" si="142"/>
        <v>338.19413170988122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9">
        <f t="shared" si="113"/>
        <v>293.33333333334014</v>
      </c>
      <c r="AN142" s="59">
        <f ca="1">AVERAGE(OFFSET($AM$3,0,0,'Données projet'!$E$10+1,1))-AVERAGE(OFFSET($H$3,0,0,'Données projet'!$E$10+1,1))</f>
        <v>318.97291652986593</v>
      </c>
      <c r="AO142" s="59">
        <f t="shared" si="144"/>
        <v>338.19413170988122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3.3902477228753445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1.5842611529477161E-15</v>
      </c>
      <c r="AX142" s="21">
        <f t="shared" si="114"/>
        <v>3.3902477228753463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2.0572770154103635E-13</v>
      </c>
      <c r="BF142" s="13">
        <f t="shared" si="145"/>
        <v>2.8416956338469711E-12</v>
      </c>
      <c r="BG142" s="20">
        <f t="shared" si="115"/>
        <v>5.3075956424674458E-12</v>
      </c>
      <c r="BH142" s="59">
        <f t="shared" si="116"/>
        <v>293.3333333333386</v>
      </c>
      <c r="BI142" s="59">
        <f ca="1">AVERAGE(OFFSET($BH$3,0,0,'Données projet'!$E$11+1,1))-AVERAGE(OFFSET($H$3,0,0,'Données projet'!$E$11+1,1))</f>
        <v>436.23918637269577</v>
      </c>
      <c r="BJ142" s="59">
        <f t="shared" si="146"/>
        <v>611.43967996341894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1.7324211914064724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1.7324211914064724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3.8</v>
      </c>
      <c r="BY142" s="12">
        <f>IF('Données projet'!$A$114&gt;35,BY141+BX142-CG141,IF(A142&lt;'Données projet'!$A$114,$BV$205^A142,IF(A142='Données projet'!$A$114,'Données projet'!$B$114,BY141+BX142-CG141)))</f>
        <v>358.2</v>
      </c>
      <c r="BZ142" s="13">
        <f>BY142*VLOOKUP('Données projet'!$B$12,Paramètres!$A$1:$I$89,3,0)*VLOOKUP('Données projet'!$B$12,Paramètres!$A$1:$I$89,5,0)</f>
        <v>301.74768</v>
      </c>
      <c r="CA142" s="13">
        <f t="shared" si="147"/>
        <v>71.542720379889786</v>
      </c>
      <c r="CB142" s="20">
        <f t="shared" si="118"/>
        <v>650.14744732830798</v>
      </c>
      <c r="CC142" s="59">
        <f t="shared" si="119"/>
        <v>943.48078066164135</v>
      </c>
      <c r="CD142" s="59">
        <f ca="1">AVERAGE(OFFSET($CC$3,0,0,'Données projet'!$E$12+1,1))-AVERAGE(OFFSET($H$3,0,0,'Données projet'!$E$12+1,1))</f>
        <v>507.79096804746297</v>
      </c>
      <c r="CE142" s="59">
        <f t="shared" si="148"/>
        <v>312.67921212138998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44.305891119987635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44.305891119987635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318.97291652986593</v>
      </c>
      <c r="T143" s="59">
        <f t="shared" si="142"/>
        <v>338.19413170988122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9">
        <f t="shared" si="113"/>
        <v>293.33333333334014</v>
      </c>
      <c r="AN143" s="59">
        <f ca="1">AVERAGE(OFFSET($AM$3,0,0,'Données projet'!$E$10+1,1))-AVERAGE(OFFSET($H$3,0,0,'Données projet'!$E$10+1,1))</f>
        <v>318.97291652986593</v>
      </c>
      <c r="AO143" s="59">
        <f t="shared" si="144"/>
        <v>338.19413170988122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3.3237670328766868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1.1202418044197481E-15</v>
      </c>
      <c r="AX143" s="21">
        <f t="shared" si="114"/>
        <v>3.3237670328766882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2.0572770154103635E-13</v>
      </c>
      <c r="BF143" s="13">
        <f t="shared" si="145"/>
        <v>2.8416956338469711E-12</v>
      </c>
      <c r="BG143" s="20">
        <f t="shared" si="115"/>
        <v>5.3075956424674458E-12</v>
      </c>
      <c r="BH143" s="59">
        <f t="shared" si="116"/>
        <v>293.3333333333386</v>
      </c>
      <c r="BI143" s="59">
        <f ca="1">AVERAGE(OFFSET($BH$3,0,0,'Données projet'!$E$11+1,1))-AVERAGE(OFFSET($H$3,0,0,'Données projet'!$E$11+1,1))</f>
        <v>436.23918637269577</v>
      </c>
      <c r="BJ143" s="59">
        <f t="shared" si="146"/>
        <v>611.43967996341894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1.6984494685155804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1.6984494685155804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362</v>
      </c>
      <c r="BW143" s="12">
        <f>VLOOKUP(A143,'Données projet'!$A$113:$I$133,9,0)</f>
        <v>3.8</v>
      </c>
      <c r="BX143" s="12">
        <f t="array" ref="BX143">INDEX(BW:BW,MIN(IF(ISNUMBER(BW143:BW339),ROW(BW143:BW339),"")))</f>
        <v>3.8</v>
      </c>
      <c r="BY143" s="12">
        <f>IF('Données projet'!$A$114&gt;35,BY142+BX143-CG142,IF(A143&lt;'Données projet'!$A$114,$BV$205^A143,IF(A143='Données projet'!$A$114,'Données projet'!$B$114,BY142+BX143-CG142)))</f>
        <v>362</v>
      </c>
      <c r="BZ143" s="13">
        <f>BY143*VLOOKUP('Données projet'!$B$12,Paramètres!$A$1:$I$89,3,0)*VLOOKUP('Données projet'!$B$12,Paramètres!$A$1:$I$89,5,0)</f>
        <v>304.94880000000006</v>
      </c>
      <c r="CA143" s="13">
        <f t="shared" si="147"/>
        <v>72.212932072769945</v>
      </c>
      <c r="CB143" s="20">
        <f t="shared" si="118"/>
        <v>656.89001669340769</v>
      </c>
      <c r="CC143" s="59">
        <f t="shared" si="119"/>
        <v>950.22335002674095</v>
      </c>
      <c r="CD143" s="59">
        <f ca="1">AVERAGE(OFFSET($CC$3,0,0,'Données projet'!$E$12+1,1))-AVERAGE(OFFSET($H$3,0,0,'Données projet'!$E$12+1,1))</f>
        <v>507.79096804746297</v>
      </c>
      <c r="CE143" s="59">
        <f t="shared" si="148"/>
        <v>312.67921212138998</v>
      </c>
      <c r="CF143" s="15">
        <f>IF(ISNA(VLOOKUP(A143,'Données projet'!$A$113:$I$133,3,0)),0,VLOOKUP(A143,'Données projet'!$A$113:$I$133,3,0))</f>
        <v>13</v>
      </c>
      <c r="CG143" s="15">
        <f>IF(ISNA(VLOOKUP(A143,'Données projet'!$A$113:$I$133,4,0)),0,VLOOKUP(A143,'Données projet'!$A$113:$I$133,4,0))</f>
        <v>41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43.437079619049868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43.437079619049868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318.97291652986593</v>
      </c>
      <c r="T144" s="59">
        <f t="shared" si="142"/>
        <v>338.19413170988122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9">
        <f t="shared" si="113"/>
        <v>293.33333333334014</v>
      </c>
      <c r="AN144" s="59">
        <f ca="1">AVERAGE(OFFSET($AM$3,0,0,'Données projet'!$E$10+1,1))-AVERAGE(OFFSET($H$3,0,0,'Données projet'!$E$10+1,1))</f>
        <v>318.97291652986593</v>
      </c>
      <c r="AO144" s="59">
        <f t="shared" si="144"/>
        <v>338.19413170988122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3.2585899886596859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7.9213057647385803E-16</v>
      </c>
      <c r="AX144" s="21">
        <f t="shared" si="114"/>
        <v>3.2585899886596867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2.0572770154103635E-13</v>
      </c>
      <c r="BF144" s="13">
        <f t="shared" si="145"/>
        <v>2.8416956338469711E-12</v>
      </c>
      <c r="BG144" s="20">
        <f t="shared" si="115"/>
        <v>5.3075956424674458E-12</v>
      </c>
      <c r="BH144" s="59">
        <f t="shared" si="116"/>
        <v>293.3333333333386</v>
      </c>
      <c r="BI144" s="59">
        <f ca="1">AVERAGE(OFFSET($BH$3,0,0,'Données projet'!$E$11+1,1))-AVERAGE(OFFSET($H$3,0,0,'Données projet'!$E$11+1,1))</f>
        <v>436.23918637269577</v>
      </c>
      <c r="BJ144" s="59">
        <f t="shared" si="146"/>
        <v>611.43967996341894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1.665143910389874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1.665143910389874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3.4</v>
      </c>
      <c r="BY144" s="12">
        <f>IF('Données projet'!$A$114&gt;35,BY143+BX144-CG143,IF(A144&lt;'Données projet'!$A$114,$BV$205^A144,IF(A144='Données projet'!$A$114,'Données projet'!$B$114,BY143+BX144-CG143)))</f>
        <v>324.39999999999998</v>
      </c>
      <c r="BZ144" s="13">
        <f>BY144*VLOOKUP('Données projet'!$B$12,Paramètres!$A$1:$I$89,3,0)*VLOOKUP('Données projet'!$B$12,Paramètres!$A$1:$I$89,5,0)</f>
        <v>273.27456000000001</v>
      </c>
      <c r="CA144" s="13">
        <f t="shared" si="147"/>
        <v>65.543725237807038</v>
      </c>
      <c r="CB144" s="20">
        <f t="shared" si="118"/>
        <v>590.10851345584717</v>
      </c>
      <c r="CC144" s="59">
        <f t="shared" si="119"/>
        <v>883.44184678918054</v>
      </c>
      <c r="CD144" s="59">
        <f ca="1">AVERAGE(OFFSET($CC$3,0,0,'Données projet'!$E$12+1,1))-AVERAGE(OFFSET($H$3,0,0,'Données projet'!$E$12+1,1))</f>
        <v>507.79096804746297</v>
      </c>
      <c r="CE144" s="59">
        <f t="shared" si="148"/>
        <v>312.67921212138998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42.5853049817228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42.5853049817228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318.97291652986593</v>
      </c>
      <c r="T145" s="59">
        <f t="shared" si="142"/>
        <v>338.19413170988122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9">
        <f t="shared" si="113"/>
        <v>293.33333333334014</v>
      </c>
      <c r="AN145" s="59">
        <f ca="1">AVERAGE(OFFSET($AM$3,0,0,'Données projet'!$E$10+1,1))-AVERAGE(OFFSET($H$3,0,0,'Données projet'!$E$10+1,1))</f>
        <v>318.97291652986593</v>
      </c>
      <c r="AO145" s="59">
        <f t="shared" si="144"/>
        <v>338.19413170988122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3.1946910265257089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5.6012090220987407E-16</v>
      </c>
      <c r="AX145" s="21">
        <f t="shared" si="114"/>
        <v>3.1946910265257094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2.0572770154103635E-13</v>
      </c>
      <c r="BF145" s="13">
        <f t="shared" si="145"/>
        <v>2.8416956338469711E-12</v>
      </c>
      <c r="BG145" s="20">
        <f t="shared" si="115"/>
        <v>5.3075956424674458E-12</v>
      </c>
      <c r="BH145" s="59">
        <f t="shared" si="116"/>
        <v>293.3333333333386</v>
      </c>
      <c r="BI145" s="59">
        <f ca="1">AVERAGE(OFFSET($BH$3,0,0,'Données projet'!$E$11+1,1))-AVERAGE(OFFSET($H$3,0,0,'Données projet'!$E$11+1,1))</f>
        <v>436.23918637269577</v>
      </c>
      <c r="BJ145" s="59">
        <f t="shared" si="146"/>
        <v>611.43967996341894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1.632491453944628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1.632491453944628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3.4</v>
      </c>
      <c r="BY145" s="12">
        <f>IF('Données projet'!$A$114&gt;35,BY144+BX145-CG144,IF(A145&lt;'Données projet'!$A$114,$BV$205^A145,IF(A145='Données projet'!$A$114,'Données projet'!$B$114,BY144+BX145-CG144)))</f>
        <v>327.79999999999995</v>
      </c>
      <c r="BZ145" s="13">
        <f>BY145*VLOOKUP('Données projet'!$B$12,Paramètres!$A$1:$I$89,3,0)*VLOOKUP('Données projet'!$B$12,Paramètres!$A$1:$I$89,5,0)</f>
        <v>276.13872000000003</v>
      </c>
      <c r="CA145" s="13">
        <f t="shared" si="147"/>
        <v>66.150351116005879</v>
      </c>
      <c r="CB145" s="20">
        <f t="shared" si="118"/>
        <v>596.15346552704364</v>
      </c>
      <c r="CC145" s="59">
        <f t="shared" si="119"/>
        <v>889.48679886037689</v>
      </c>
      <c r="CD145" s="59">
        <f ca="1">AVERAGE(OFFSET($CC$3,0,0,'Données projet'!$E$12+1,1))-AVERAGE(OFFSET($H$3,0,0,'Données projet'!$E$12+1,1))</f>
        <v>507.79096804746297</v>
      </c>
      <c r="CE145" s="59">
        <f t="shared" si="148"/>
        <v>312.67921212138998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41.75023312550249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41.75023312550249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318.97291652986593</v>
      </c>
      <c r="T146" s="59">
        <f t="shared" si="142"/>
        <v>338.19413170988122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9">
        <f t="shared" si="113"/>
        <v>293.33333333334014</v>
      </c>
      <c r="AN146" s="59">
        <f ca="1">AVERAGE(OFFSET($AM$3,0,0,'Données projet'!$E$10+1,1))-AVERAGE(OFFSET($H$3,0,0,'Données projet'!$E$10+1,1))</f>
        <v>318.97291652986593</v>
      </c>
      <c r="AO146" s="59">
        <f t="shared" si="144"/>
        <v>338.19413170988122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3.1320450840646608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3.9606528823692901E-16</v>
      </c>
      <c r="AX146" s="21">
        <f t="shared" si="114"/>
        <v>3.1320450840646612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2.0572770154103635E-13</v>
      </c>
      <c r="BF146" s="13">
        <f t="shared" si="145"/>
        <v>2.8416956338469711E-12</v>
      </c>
      <c r="BG146" s="20">
        <f t="shared" si="115"/>
        <v>5.3075956424674458E-12</v>
      </c>
      <c r="BH146" s="59">
        <f t="shared" si="116"/>
        <v>293.3333333333386</v>
      </c>
      <c r="BI146" s="59">
        <f ca="1">AVERAGE(OFFSET($BH$3,0,0,'Données projet'!$E$11+1,1))-AVERAGE(OFFSET($H$3,0,0,'Données projet'!$E$11+1,1))</f>
        <v>436.23918637269577</v>
      </c>
      <c r="BJ146" s="59">
        <f t="shared" si="146"/>
        <v>611.43967996341894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1.6004792922542415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1.6004792922542415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3.4</v>
      </c>
      <c r="BY146" s="12">
        <f>IF('Données projet'!$A$114&gt;35,BY145+BX146-CG145,IF(A146&lt;'Données projet'!$A$114,$BV$205^A146,IF(A146='Données projet'!$A$114,'Données projet'!$B$114,BY145+BX146-CG145)))</f>
        <v>331.19999999999993</v>
      </c>
      <c r="BZ146" s="13">
        <f>BY146*VLOOKUP('Données projet'!$B$12,Paramètres!$A$1:$I$89,3,0)*VLOOKUP('Données projet'!$B$12,Paramètres!$A$1:$I$89,5,0)</f>
        <v>279.00288</v>
      </c>
      <c r="CA146" s="13">
        <f t="shared" si="147"/>
        <v>66.756245029775258</v>
      </c>
      <c r="CB146" s="20">
        <f t="shared" si="118"/>
        <v>602.19714276019192</v>
      </c>
      <c r="CC146" s="59">
        <f t="shared" si="119"/>
        <v>895.53047609352529</v>
      </c>
      <c r="CD146" s="59">
        <f ca="1">AVERAGE(OFFSET($CC$3,0,0,'Données projet'!$E$12+1,1))-AVERAGE(OFFSET($H$3,0,0,'Données projet'!$E$12+1,1))</f>
        <v>507.79096804746297</v>
      </c>
      <c r="CE146" s="59">
        <f t="shared" si="148"/>
        <v>312.67921212138998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40.93153651903912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40.93153651903912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318.97291652986593</v>
      </c>
      <c r="T147" s="59">
        <f t="shared" si="142"/>
        <v>338.19413170988122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9">
        <f t="shared" si="113"/>
        <v>293.33333333334014</v>
      </c>
      <c r="AN147" s="59">
        <f ca="1">AVERAGE(OFFSET($AM$3,0,0,'Données projet'!$E$10+1,1))-AVERAGE(OFFSET($H$3,0,0,'Données projet'!$E$10+1,1))</f>
        <v>318.97291652986593</v>
      </c>
      <c r="AO147" s="59">
        <f t="shared" si="144"/>
        <v>338.19413170988122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3.0706275903250217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2.8006045110493704E-16</v>
      </c>
      <c r="AX147" s="21">
        <f t="shared" si="114"/>
        <v>3.0706275903250222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2.0572770154103635E-13</v>
      </c>
      <c r="BF147" s="13">
        <f t="shared" si="145"/>
        <v>2.8416956338469711E-12</v>
      </c>
      <c r="BG147" s="20">
        <f t="shared" si="115"/>
        <v>5.3075956424674458E-12</v>
      </c>
      <c r="BH147" s="59">
        <f t="shared" si="116"/>
        <v>293.3333333333386</v>
      </c>
      <c r="BI147" s="59">
        <f ca="1">AVERAGE(OFFSET($BH$3,0,0,'Données projet'!$E$11+1,1))-AVERAGE(OFFSET($H$3,0,0,'Données projet'!$E$11+1,1))</f>
        <v>436.23918637269577</v>
      </c>
      <c r="BJ147" s="59">
        <f t="shared" si="146"/>
        <v>611.43967996341894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1.5690948695291127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1.5690948695291127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3.4</v>
      </c>
      <c r="BY147" s="12">
        <f>IF('Données projet'!$A$114&gt;35,BY146+BX147-CG146,IF(A147&lt;'Données projet'!$A$114,$BV$205^A147,IF(A147='Données projet'!$A$114,'Données projet'!$B$114,BY146+BX147-CG146)))</f>
        <v>334.59999999999991</v>
      </c>
      <c r="BZ147" s="13">
        <f>BY147*VLOOKUP('Données projet'!$B$12,Paramètres!$A$1:$I$89,3,0)*VLOOKUP('Données projet'!$B$12,Paramètres!$A$1:$I$89,5,0)</f>
        <v>281.86703999999997</v>
      </c>
      <c r="CA147" s="13">
        <f t="shared" si="147"/>
        <v>67.361415363173109</v>
      </c>
      <c r="CB147" s="20">
        <f t="shared" si="118"/>
        <v>608.23955975752642</v>
      </c>
      <c r="CC147" s="59">
        <f t="shared" si="119"/>
        <v>901.57289309085968</v>
      </c>
      <c r="CD147" s="59">
        <f ca="1">AVERAGE(OFFSET($CC$3,0,0,'Données projet'!$E$12+1,1))-AVERAGE(OFFSET($H$3,0,0,'Données projet'!$E$12+1,1))</f>
        <v>507.79096804746297</v>
      </c>
      <c r="CE147" s="59">
        <f t="shared" si="148"/>
        <v>312.67921212138998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40.128894053672873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40.128894053672873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318.97291652986593</v>
      </c>
      <c r="T148" s="59">
        <f t="shared" si="142"/>
        <v>338.19413170988122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9">
        <f t="shared" si="113"/>
        <v>293.33333333334014</v>
      </c>
      <c r="AN148" s="59">
        <f ca="1">AVERAGE(OFFSET($AM$3,0,0,'Données projet'!$E$10+1,1))-AVERAGE(OFFSET($H$3,0,0,'Données projet'!$E$10+1,1))</f>
        <v>318.97291652986593</v>
      </c>
      <c r="AO148" s="59">
        <f t="shared" si="144"/>
        <v>338.19413170988122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3.0104144561766448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1.9803264411846451E-16</v>
      </c>
      <c r="AX148" s="21">
        <f t="shared" si="114"/>
        <v>3.0104144561766448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2.0572770154103635E-13</v>
      </c>
      <c r="BF148" s="13">
        <f t="shared" si="145"/>
        <v>2.8416956338469711E-12</v>
      </c>
      <c r="BG148" s="20">
        <f t="shared" si="115"/>
        <v>5.3075956424674458E-12</v>
      </c>
      <c r="BH148" s="59">
        <f t="shared" si="116"/>
        <v>293.3333333333386</v>
      </c>
      <c r="BI148" s="59">
        <f ca="1">AVERAGE(OFFSET($BH$3,0,0,'Données projet'!$E$11+1,1))-AVERAGE(OFFSET($H$3,0,0,'Données projet'!$E$11+1,1))</f>
        <v>436.23918637269577</v>
      </c>
      <c r="BJ148" s="59">
        <f t="shared" si="146"/>
        <v>611.43967996341894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1.5383258761910161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1.5383258761910161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3.4</v>
      </c>
      <c r="BY148" s="12">
        <f>IF('Données projet'!$A$114&gt;35,BY147+BX148-CG147,IF(A148&lt;'Données projet'!$A$114,$BV$205^A148,IF(A148='Données projet'!$A$114,'Données projet'!$B$114,BY147+BX148-CG147)))</f>
        <v>337.99999999999989</v>
      </c>
      <c r="BZ148" s="13">
        <f>BY148*VLOOKUP('Données projet'!$B$12,Paramètres!$A$1:$I$89,3,0)*VLOOKUP('Données projet'!$B$12,Paramètres!$A$1:$I$89,5,0)</f>
        <v>284.73119999999994</v>
      </c>
      <c r="CA148" s="13">
        <f t="shared" si="147"/>
        <v>67.965870320050954</v>
      </c>
      <c r="CB148" s="20">
        <f t="shared" si="118"/>
        <v>614.28073080742195</v>
      </c>
      <c r="CC148" s="59">
        <f t="shared" si="119"/>
        <v>907.61406414075532</v>
      </c>
      <c r="CD148" s="59">
        <f ca="1">AVERAGE(OFFSET($CC$3,0,0,'Données projet'!$E$12+1,1))-AVERAGE(OFFSET($H$3,0,0,'Données projet'!$E$12+1,1))</f>
        <v>507.79096804746297</v>
      </c>
      <c r="CE148" s="59">
        <f t="shared" si="148"/>
        <v>312.67921212138998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39.341990917488893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39.341990917488893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318.97291652986593</v>
      </c>
      <c r="T149" s="59">
        <f t="shared" si="142"/>
        <v>338.19413170988122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9">
        <f t="shared" si="113"/>
        <v>293.33333333334014</v>
      </c>
      <c r="AN149" s="59">
        <f ca="1">AVERAGE(OFFSET($AM$3,0,0,'Données projet'!$E$10+1,1))-AVERAGE(OFFSET($H$3,0,0,'Données projet'!$E$10+1,1))</f>
        <v>318.97291652986593</v>
      </c>
      <c r="AO149" s="59">
        <f t="shared" si="144"/>
        <v>338.19413170988122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2.9513820648625324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1.4003022555246852E-16</v>
      </c>
      <c r="AX149" s="21">
        <f t="shared" si="114"/>
        <v>2.9513820648625324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2.0572770154103635E-13</v>
      </c>
      <c r="BF149" s="13">
        <f t="shared" si="145"/>
        <v>2.8416956338469711E-12</v>
      </c>
      <c r="BG149" s="20">
        <f t="shared" si="115"/>
        <v>5.3075956424674458E-12</v>
      </c>
      <c r="BH149" s="59">
        <f t="shared" si="116"/>
        <v>293.3333333333386</v>
      </c>
      <c r="BI149" s="59">
        <f ca="1">AVERAGE(OFFSET($BH$3,0,0,'Données projet'!$E$11+1,1))-AVERAGE(OFFSET($H$3,0,0,'Données projet'!$E$11+1,1))</f>
        <v>436.23918637269577</v>
      </c>
      <c r="BJ149" s="59">
        <f t="shared" si="146"/>
        <v>611.43967996341894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1.5081602440450468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1.5081602440450468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3.4</v>
      </c>
      <c r="BY149" s="12">
        <f>IF('Données projet'!$A$114&gt;35,BY148+BX149-CG148,IF(A149&lt;'Données projet'!$A$114,$BV$205^A149,IF(A149='Données projet'!$A$114,'Données projet'!$B$114,BY148+BX149-CG148)))</f>
        <v>341.39999999999986</v>
      </c>
      <c r="BZ149" s="13">
        <f>BY149*VLOOKUP('Données projet'!$B$12,Paramètres!$A$1:$I$89,3,0)*VLOOKUP('Données projet'!$B$12,Paramètres!$A$1:$I$89,5,0)</f>
        <v>287.59535999999991</v>
      </c>
      <c r="CA149" s="13">
        <f t="shared" si="147"/>
        <v>68.569617929699987</v>
      </c>
      <c r="CB149" s="20">
        <f t="shared" si="118"/>
        <v>620.32066989422731</v>
      </c>
      <c r="CC149" s="59">
        <f t="shared" si="119"/>
        <v>913.65400322756068</v>
      </c>
      <c r="CD149" s="59">
        <f ca="1">AVERAGE(OFFSET($CC$3,0,0,'Données projet'!$E$12+1,1))-AVERAGE(OFFSET($H$3,0,0,'Données projet'!$E$12+1,1))</f>
        <v>507.79096804746297</v>
      </c>
      <c r="CE149" s="59">
        <f t="shared" si="148"/>
        <v>312.67921212138998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38.570518471841964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38.570518471841964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318.97291652986593</v>
      </c>
      <c r="T150" s="59">
        <f t="shared" si="142"/>
        <v>338.19413170988122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9">
        <f t="shared" si="113"/>
        <v>293.33333333334014</v>
      </c>
      <c r="AN150" s="59">
        <f ca="1">AVERAGE(OFFSET($AM$3,0,0,'Données projet'!$E$10+1,1))-AVERAGE(OFFSET($H$3,0,0,'Données projet'!$E$10+1,1))</f>
        <v>318.97291652986593</v>
      </c>
      <c r="AO150" s="59">
        <f t="shared" si="144"/>
        <v>338.19413170988122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2.893507262735886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9.9016322059232253E-17</v>
      </c>
      <c r="AX150" s="21">
        <f t="shared" si="114"/>
        <v>2.893507262735886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2.0572770154103635E-13</v>
      </c>
      <c r="BF150" s="13">
        <f t="shared" si="145"/>
        <v>2.8416956338469711E-12</v>
      </c>
      <c r="BG150" s="20">
        <f t="shared" si="115"/>
        <v>5.3075956424674458E-12</v>
      </c>
      <c r="BH150" s="59">
        <f t="shared" si="116"/>
        <v>293.3333333333386</v>
      </c>
      <c r="BI150" s="59">
        <f ca="1">AVERAGE(OFFSET($BH$3,0,0,'Données projet'!$E$11+1,1))-AVERAGE(OFFSET($H$3,0,0,'Données projet'!$E$11+1,1))</f>
        <v>436.23918637269577</v>
      </c>
      <c r="BJ150" s="59">
        <f t="shared" si="146"/>
        <v>611.43967996341894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1.4785861415462409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1.4785861415462409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3.4</v>
      </c>
      <c r="BY150" s="12">
        <f>IF('Données projet'!$A$114&gt;35,BY149+BX150-CG149,IF(A150&lt;'Données projet'!$A$114,$BV$205^A150,IF(A150='Données projet'!$A$114,'Données projet'!$B$114,BY149+BX150-CG149)))</f>
        <v>344.79999999999984</v>
      </c>
      <c r="BZ150" s="13">
        <f>BY150*VLOOKUP('Données projet'!$B$12,Paramètres!$A$1:$I$89,3,0)*VLOOKUP('Données projet'!$B$12,Paramètres!$A$1:$I$89,5,0)</f>
        <v>290.45951999999988</v>
      </c>
      <c r="CA150" s="13">
        <f t="shared" si="147"/>
        <v>69.172666052266209</v>
      </c>
      <c r="CB150" s="20">
        <f t="shared" si="118"/>
        <v>626.35939070769678</v>
      </c>
      <c r="CC150" s="59">
        <f t="shared" si="119"/>
        <v>919.69272404103003</v>
      </c>
      <c r="CD150" s="59">
        <f ca="1">AVERAGE(OFFSET($CC$3,0,0,'Données projet'!$E$12+1,1))-AVERAGE(OFFSET($H$3,0,0,'Données projet'!$E$12+1,1))</f>
        <v>507.79096804746297</v>
      </c>
      <c r="CE150" s="59">
        <f t="shared" si="148"/>
        <v>312.67921212138998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37.81417413030244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37.81417413030244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318.97291652986593</v>
      </c>
      <c r="T151" s="59">
        <f t="shared" si="142"/>
        <v>338.19413170988122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9">
        <f t="shared" si="113"/>
        <v>293.33333333334014</v>
      </c>
      <c r="AN151" s="59">
        <f ca="1">AVERAGE(OFFSET($AM$3,0,0,'Données projet'!$E$10+1,1))-AVERAGE(OFFSET($H$3,0,0,'Données projet'!$E$10+1,1))</f>
        <v>318.97291652986593</v>
      </c>
      <c r="AO151" s="59">
        <f t="shared" si="144"/>
        <v>338.19413170988122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2.8367673501787998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7.0015112776234259E-17</v>
      </c>
      <c r="AX151" s="21">
        <f t="shared" si="114"/>
        <v>2.8367673501787998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2.0572770154103635E-13</v>
      </c>
      <c r="BF151" s="13">
        <f t="shared" si="145"/>
        <v>2.8416956338469711E-12</v>
      </c>
      <c r="BG151" s="20">
        <f t="shared" si="115"/>
        <v>5.3075956424674458E-12</v>
      </c>
      <c r="BH151" s="59">
        <f t="shared" si="116"/>
        <v>293.3333333333386</v>
      </c>
      <c r="BI151" s="59">
        <f ca="1">AVERAGE(OFFSET($BH$3,0,0,'Données projet'!$E$11+1,1))-AVERAGE(OFFSET($H$3,0,0,'Données projet'!$E$11+1,1))</f>
        <v>436.23918637269577</v>
      </c>
      <c r="BJ151" s="59">
        <f t="shared" si="146"/>
        <v>611.43967996341894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1.4495919691590153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1.4495919691590153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3.4</v>
      </c>
      <c r="BY151" s="12">
        <f>IF('Données projet'!$A$114&gt;35,BY150+BX151-CG150,IF(A151&lt;'Données projet'!$A$114,$BV$205^A151,IF(A151='Données projet'!$A$114,'Données projet'!$B$114,BY150+BX151-CG150)))</f>
        <v>348.19999999999982</v>
      </c>
      <c r="BZ151" s="13">
        <f>BY151*VLOOKUP('Données projet'!$B$12,Paramètres!$A$1:$I$89,3,0)*VLOOKUP('Données projet'!$B$12,Paramètres!$A$1:$I$89,5,0)</f>
        <v>293.32367999999985</v>
      </c>
      <c r="CA151" s="13">
        <f t="shared" si="147"/>
        <v>69.775022383945227</v>
      </c>
      <c r="CB151" s="20">
        <f t="shared" si="118"/>
        <v>632.39690665203761</v>
      </c>
      <c r="CC151" s="59">
        <f t="shared" si="119"/>
        <v>925.73023998537087</v>
      </c>
      <c r="CD151" s="59">
        <f ca="1">AVERAGE(OFFSET($CC$3,0,0,'Données projet'!$E$12+1,1))-AVERAGE(OFFSET($H$3,0,0,'Données projet'!$E$12+1,1))</f>
        <v>507.79096804746297</v>
      </c>
      <c r="CE151" s="59">
        <f t="shared" si="148"/>
        <v>312.67921212138998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37.072661239976014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37.072661239976014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318.97291652986593</v>
      </c>
      <c r="T152" s="59">
        <f t="shared" si="142"/>
        <v>338.19413170988122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9">
        <f t="shared" si="113"/>
        <v>293.33333333334014</v>
      </c>
      <c r="AN152" s="59">
        <f ca="1">AVERAGE(OFFSET($AM$3,0,0,'Données projet'!$E$10+1,1))-AVERAGE(OFFSET($H$3,0,0,'Données projet'!$E$10+1,1))</f>
        <v>318.97291652986593</v>
      </c>
      <c r="AO152" s="59">
        <f t="shared" si="144"/>
        <v>338.19413170988122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2.7811400726990283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4.9508161029616127E-17</v>
      </c>
      <c r="AX152" s="21">
        <f t="shared" si="114"/>
        <v>2.7811400726990283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2.0572770154103635E-13</v>
      </c>
      <c r="BF152" s="13">
        <f t="shared" si="145"/>
        <v>2.8416956338469711E-12</v>
      </c>
      <c r="BG152" s="20">
        <f t="shared" si="115"/>
        <v>5.3075956424674458E-12</v>
      </c>
      <c r="BH152" s="59">
        <f t="shared" si="116"/>
        <v>293.3333333333386</v>
      </c>
      <c r="BI152" s="59">
        <f ca="1">AVERAGE(OFFSET($BH$3,0,0,'Données projet'!$E$11+1,1))-AVERAGE(OFFSET($H$3,0,0,'Données projet'!$E$11+1,1))</f>
        <v>436.23918637269577</v>
      </c>
      <c r="BJ152" s="59">
        <f t="shared" si="146"/>
        <v>611.43967996341894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1.4211663548076043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1.4211663548076043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3.4</v>
      </c>
      <c r="BY152" s="12">
        <f>IF('Données projet'!$A$114&gt;35,BY151+BX152-CG151,IF(A152&lt;'Données projet'!$A$114,$BV$205^A152,IF(A152='Données projet'!$A$114,'Données projet'!$B$114,BY151+BX152-CG151)))</f>
        <v>351.5999999999998</v>
      </c>
      <c r="BZ152" s="13">
        <f>BY152*VLOOKUP('Données projet'!$B$12,Paramètres!$A$1:$I$89,3,0)*VLOOKUP('Données projet'!$B$12,Paramètres!$A$1:$I$89,5,0)</f>
        <v>296.18783999999982</v>
      </c>
      <c r="CA152" s="13">
        <f t="shared" si="147"/>
        <v>70.37669446196935</v>
      </c>
      <c r="CB152" s="20">
        <f t="shared" si="118"/>
        <v>638.43323085459633</v>
      </c>
      <c r="CC152" s="59">
        <f t="shared" si="119"/>
        <v>931.76656418792959</v>
      </c>
      <c r="CD152" s="59">
        <f ca="1">AVERAGE(OFFSET($CC$3,0,0,'Données projet'!$E$12+1,1))-AVERAGE(OFFSET($H$3,0,0,'Données projet'!$E$12+1,1))</f>
        <v>507.79096804746297</v>
      </c>
      <c r="CE152" s="59">
        <f t="shared" si="148"/>
        <v>312.67921212138998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36.345688965150686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36.345688965150686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318.97291652986593</v>
      </c>
      <c r="T153" s="59">
        <f t="shared" si="142"/>
        <v>338.19413170988122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9">
        <f t="shared" si="113"/>
        <v>293.33333333334014</v>
      </c>
      <c r="AN153" s="59">
        <f ca="1">AVERAGE(OFFSET($AM$3,0,0,'Données projet'!$E$10+1,1))-AVERAGE(OFFSET($H$3,0,0,'Données projet'!$E$10+1,1))</f>
        <v>318.97291652986593</v>
      </c>
      <c r="AO153" s="59">
        <f t="shared" si="144"/>
        <v>338.19413170988122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2.7266036122013464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3.5007556388117129E-17</v>
      </c>
      <c r="AX153" s="21">
        <f t="shared" si="114"/>
        <v>2.7266036122013464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2.0572770154103635E-13</v>
      </c>
      <c r="BF153" s="13">
        <f t="shared" si="145"/>
        <v>2.8416956338469711E-12</v>
      </c>
      <c r="BG153" s="20">
        <f t="shared" si="115"/>
        <v>5.3075956424674458E-12</v>
      </c>
      <c r="BH153" s="59">
        <f t="shared" si="116"/>
        <v>293.3333333333386</v>
      </c>
      <c r="BI153" s="59">
        <f ca="1">AVERAGE(OFFSET($BH$3,0,0,'Données projet'!$E$11+1,1))-AVERAGE(OFFSET($H$3,0,0,'Données projet'!$E$11+1,1))</f>
        <v>436.23918637269577</v>
      </c>
      <c r="BJ153" s="59">
        <f t="shared" si="146"/>
        <v>611.43967996341894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1.3932981494157117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1.3932981494157117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355</v>
      </c>
      <c r="BW153" s="12">
        <f>VLOOKUP(A153,'Données projet'!$A$113:$I$133,9,0)</f>
        <v>3.4</v>
      </c>
      <c r="BX153" s="12">
        <f t="array" ref="BX153">INDEX(BW:BW,MIN(IF(ISNUMBER(BW153:BW349),ROW(BW153:BW349),"")))</f>
        <v>3.4</v>
      </c>
      <c r="BY153" s="12">
        <f>IF('Données projet'!$A$114&gt;35,BY152+BX153-CG152,IF(A153&lt;'Données projet'!$A$114,$BV$205^A153,IF(A153='Données projet'!$A$114,'Données projet'!$B$114,BY152+BX153-CG152)))</f>
        <v>354.99999999999977</v>
      </c>
      <c r="BZ153" s="13">
        <f>BY153*VLOOKUP('Données projet'!$B$12,Paramètres!$A$1:$I$89,3,0)*VLOOKUP('Données projet'!$B$12,Paramètres!$A$1:$I$89,5,0)</f>
        <v>299.05199999999985</v>
      </c>
      <c r="CA153" s="13">
        <f t="shared" si="147"/>
        <v>70.977689669395403</v>
      </c>
      <c r="CB153" s="20">
        <f t="shared" si="118"/>
        <v>644.46837617419669</v>
      </c>
      <c r="CC153" s="59">
        <f t="shared" si="119"/>
        <v>937.80170950752995</v>
      </c>
      <c r="CD153" s="59">
        <f ca="1">AVERAGE(OFFSET($CC$3,0,0,'Données projet'!$E$12+1,1))-AVERAGE(OFFSET($H$3,0,0,'Données projet'!$E$12+1,1))</f>
        <v>507.79096804746297</v>
      </c>
      <c r="CE153" s="59">
        <f t="shared" si="148"/>
        <v>312.67921212138998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355</v>
      </c>
      <c r="CH153" s="16">
        <f>IF(ISNA(VLOOKUP(A153,'Données projet'!$A$113:$I$133,5,0)),0%,VLOOKUP(A153,'Données projet'!$A$113:$I$133,5,0)*VLOOKUP('Données projet'!$B$12,Paramètres!$A$1:$I$89,7,0))</f>
        <v>0.43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177.78801718746311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177.78801718746311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318.97291652986593</v>
      </c>
      <c r="T154" s="59">
        <f t="shared" si="142"/>
        <v>338.19413170988122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9">
        <f t="shared" si="113"/>
        <v>293.33333333334014</v>
      </c>
      <c r="AN154" s="59">
        <f ca="1">AVERAGE(OFFSET($AM$3,0,0,'Données projet'!$E$10+1,1))-AVERAGE(OFFSET($H$3,0,0,'Données projet'!$E$10+1,1))</f>
        <v>318.97291652986593</v>
      </c>
      <c r="AO154" s="59">
        <f t="shared" si="144"/>
        <v>338.19413170988122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2.6731365784300674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2.4754080514808063E-17</v>
      </c>
      <c r="AX154" s="21">
        <f t="shared" ref="AX154:AX203" si="166">SUM(AU154:AW154)</f>
        <v>2.6731365784300674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2.0572770154103635E-13</v>
      </c>
      <c r="BF154" s="13">
        <f t="shared" ref="BF154:BF203" si="167">EXP(-1.0587+0.8836*LN(BE154)+0.284)</f>
        <v>2.8416956338469711E-12</v>
      </c>
      <c r="BG154" s="20">
        <f t="shared" ref="BG154:BG203" si="168">(BE154+BF154)*0.475*44/12</f>
        <v>5.3075956424674458E-12</v>
      </c>
      <c r="BH154" s="59">
        <f t="shared" si="116"/>
        <v>293.3333333333386</v>
      </c>
      <c r="BI154" s="59">
        <f ca="1">AVERAGE(OFFSET($BH$3,0,0,'Données projet'!$E$11+1,1))-AVERAGE(OFFSET($H$3,0,0,'Données projet'!$E$11+1,1))</f>
        <v>436.23918637269577</v>
      </c>
      <c r="BJ154" s="59">
        <f t="shared" si="146"/>
        <v>611.43967996341894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1.3659764225336273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1.3659764225336273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-1.915395841933787E-13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507.79096804746297</v>
      </c>
      <c r="CE154" s="59">
        <f t="shared" si="148"/>
        <v>312.67921212138998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174.30170261039987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174.30170261039987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318.97291652986593</v>
      </c>
      <c r="T155" s="59">
        <f t="shared" si="142"/>
        <v>338.19413170988122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9">
        <f t="shared" si="113"/>
        <v>293.33333333334014</v>
      </c>
      <c r="AN155" s="59">
        <f ca="1">AVERAGE(OFFSET($AM$3,0,0,'Données projet'!$E$10+1,1))-AVERAGE(OFFSET($H$3,0,0,'Données projet'!$E$10+1,1))</f>
        <v>318.97291652986593</v>
      </c>
      <c r="AO155" s="59">
        <f t="shared" si="144"/>
        <v>338.19413170988122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2.6207180005793727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1.7503778194058565E-17</v>
      </c>
      <c r="AX155" s="21">
        <f t="shared" si="166"/>
        <v>2.6207180005793727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2.0572770154103635E-13</v>
      </c>
      <c r="BF155" s="13">
        <f t="shared" si="167"/>
        <v>2.8416956338469711E-12</v>
      </c>
      <c r="BG155" s="20">
        <f t="shared" si="168"/>
        <v>5.3075956424674458E-12</v>
      </c>
      <c r="BH155" s="59">
        <f t="shared" si="116"/>
        <v>293.3333333333386</v>
      </c>
      <c r="BI155" s="59">
        <f ca="1">AVERAGE(OFFSET($BH$3,0,0,'Données projet'!$E$11+1,1))-AVERAGE(OFFSET($H$3,0,0,'Données projet'!$E$11+1,1))</f>
        <v>436.23918637269577</v>
      </c>
      <c r="BJ155" s="59">
        <f t="shared" si="146"/>
        <v>611.43967996341894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1.3391904580510925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1.3391904580510925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-1.915395841933787E-13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507.79096804746297</v>
      </c>
      <c r="CE155" s="59">
        <f t="shared" si="148"/>
        <v>312.67921212138998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170.88375253575094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170.88375253575094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318.97291652986593</v>
      </c>
      <c r="T156" s="59">
        <f t="shared" si="142"/>
        <v>338.19413170988122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9">
        <f t="shared" si="113"/>
        <v>293.33333333334014</v>
      </c>
      <c r="AN156" s="59">
        <f ca="1">AVERAGE(OFFSET($AM$3,0,0,'Données projet'!$E$10+1,1))-AVERAGE(OFFSET($H$3,0,0,'Données projet'!$E$10+1,1))</f>
        <v>318.97291652986593</v>
      </c>
      <c r="AO156" s="59">
        <f t="shared" si="144"/>
        <v>338.19413170988122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2.5693273190681549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1.2377040257404032E-17</v>
      </c>
      <c r="AX156" s="21">
        <f t="shared" si="166"/>
        <v>2.5693273190681549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2.0572770154103635E-13</v>
      </c>
      <c r="BF156" s="13">
        <f t="shared" si="167"/>
        <v>2.8416956338469711E-12</v>
      </c>
      <c r="BG156" s="20">
        <f t="shared" si="168"/>
        <v>5.3075956424674458E-12</v>
      </c>
      <c r="BH156" s="59">
        <f t="shared" si="116"/>
        <v>293.3333333333386</v>
      </c>
      <c r="BI156" s="59">
        <f ca="1">AVERAGE(OFFSET($BH$3,0,0,'Données projet'!$E$11+1,1))-AVERAGE(OFFSET($H$3,0,0,'Données projet'!$E$11+1,1))</f>
        <v>436.23918637269577</v>
      </c>
      <c r="BJ156" s="59">
        <f t="shared" si="146"/>
        <v>611.43967996341894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1.3129297499942352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1.3129297499942352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-1.915395841933787E-13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507.79096804746297</v>
      </c>
      <c r="CE156" s="59">
        <f t="shared" si="148"/>
        <v>312.67921212138998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167.53282637732218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167.53282637732218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318.97291652986593</v>
      </c>
      <c r="T157" s="59">
        <f t="shared" si="142"/>
        <v>338.19413170988122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9">
        <f t="shared" si="113"/>
        <v>293.33333333334014</v>
      </c>
      <c r="AN157" s="59">
        <f ca="1">AVERAGE(OFFSET($AM$3,0,0,'Données projet'!$E$10+1,1))-AVERAGE(OFFSET($H$3,0,0,'Données projet'!$E$10+1,1))</f>
        <v>318.97291652986593</v>
      </c>
      <c r="AO157" s="59">
        <f t="shared" si="144"/>
        <v>338.19413170988122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2.5189443774761515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8.7518890970292824E-18</v>
      </c>
      <c r="AX157" s="21">
        <f t="shared" si="166"/>
        <v>2.5189443774761515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2.0572770154103635E-13</v>
      </c>
      <c r="BF157" s="13">
        <f t="shared" si="167"/>
        <v>2.8416956338469711E-12</v>
      </c>
      <c r="BG157" s="20">
        <f t="shared" si="168"/>
        <v>5.3075956424674458E-12</v>
      </c>
      <c r="BH157" s="59">
        <f t="shared" si="116"/>
        <v>293.3333333333386</v>
      </c>
      <c r="BI157" s="59">
        <f ca="1">AVERAGE(OFFSET($BH$3,0,0,'Données projet'!$E$11+1,1))-AVERAGE(OFFSET($H$3,0,0,'Données projet'!$E$11+1,1))</f>
        <v>436.23918637269577</v>
      </c>
      <c r="BJ157" s="59">
        <f t="shared" si="146"/>
        <v>611.43967996341894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1.2871839984049225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1.2871839984049225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-1.915395841933787E-13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507.79096804746297</v>
      </c>
      <c r="CE157" s="59">
        <f t="shared" si="148"/>
        <v>312.67921212138998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164.24760983699707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164.24760983699707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318.97291652986593</v>
      </c>
      <c r="T158" s="59">
        <f t="shared" si="142"/>
        <v>338.19413170988122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9">
        <f t="shared" si="113"/>
        <v>293.33333333334014</v>
      </c>
      <c r="AN158" s="59">
        <f ca="1">AVERAGE(OFFSET($AM$3,0,0,'Données projet'!$E$10+1,1))-AVERAGE(OFFSET($H$3,0,0,'Données projet'!$E$10+1,1))</f>
        <v>318.97291652986593</v>
      </c>
      <c r="AO158" s="59">
        <f t="shared" si="144"/>
        <v>338.19413170988122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2.4695494146382071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6.1885201287020158E-18</v>
      </c>
      <c r="AX158" s="21">
        <f t="shared" si="166"/>
        <v>2.4695494146382071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2.0572770154103635E-13</v>
      </c>
      <c r="BF158" s="13">
        <f t="shared" si="167"/>
        <v>2.8416956338469711E-12</v>
      </c>
      <c r="BG158" s="20">
        <f t="shared" si="168"/>
        <v>5.3075956424674458E-12</v>
      </c>
      <c r="BH158" s="59">
        <f t="shared" si="116"/>
        <v>293.3333333333386</v>
      </c>
      <c r="BI158" s="59">
        <f ca="1">AVERAGE(OFFSET($BH$3,0,0,'Données projet'!$E$11+1,1))-AVERAGE(OFFSET($H$3,0,0,'Données projet'!$E$11+1,1))</f>
        <v>436.23918637269577</v>
      </c>
      <c r="BJ158" s="59">
        <f t="shared" si="146"/>
        <v>611.43967996341894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1.2619431053009182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1.2619431053009182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-1.915395841933787E-13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507.79096804746297</v>
      </c>
      <c r="CE158" s="59">
        <f t="shared" si="148"/>
        <v>312.67921212138998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161.0268143892435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161.0268143892435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318.97291652986593</v>
      </c>
      <c r="T159" s="59">
        <f t="shared" si="142"/>
        <v>338.19413170988122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9">
        <f t="shared" si="113"/>
        <v>293.33333333334014</v>
      </c>
      <c r="AN159" s="59">
        <f ca="1">AVERAGE(OFFSET($AM$3,0,0,'Données projet'!$E$10+1,1))-AVERAGE(OFFSET($H$3,0,0,'Données projet'!$E$10+1,1))</f>
        <v>318.97291652986593</v>
      </c>
      <c r="AO159" s="59">
        <f t="shared" si="144"/>
        <v>338.19413170988122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2.4211230568935624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4.3759445485146412E-18</v>
      </c>
      <c r="AX159" s="21">
        <f t="shared" si="166"/>
        <v>2.4211230568935624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2.0572770154103635E-13</v>
      </c>
      <c r="BF159" s="13">
        <f t="shared" si="167"/>
        <v>2.8416956338469711E-12</v>
      </c>
      <c r="BG159" s="20">
        <f t="shared" si="168"/>
        <v>5.3075956424674458E-12</v>
      </c>
      <c r="BH159" s="59">
        <f t="shared" si="116"/>
        <v>293.3333333333386</v>
      </c>
      <c r="BI159" s="59">
        <f ca="1">AVERAGE(OFFSET($BH$3,0,0,'Données projet'!$E$11+1,1))-AVERAGE(OFFSET($H$3,0,0,'Données projet'!$E$11+1,1))</f>
        <v>436.23918637269577</v>
      </c>
      <c r="BJ159" s="59">
        <f t="shared" si="146"/>
        <v>611.43967996341894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1.2371971707152589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1.2371971707152589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-1.915395841933787E-13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507.79096804746297</v>
      </c>
      <c r="CE159" s="59">
        <f t="shared" si="148"/>
        <v>312.67921212138998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157.86917677572913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157.86917677572913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318.97291652986593</v>
      </c>
      <c r="T160" s="59">
        <f t="shared" si="142"/>
        <v>338.19413170988122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9">
        <f t="shared" si="113"/>
        <v>293.33333333334014</v>
      </c>
      <c r="AN160" s="59">
        <f ca="1">AVERAGE(OFFSET($AM$3,0,0,'Données projet'!$E$10+1,1))-AVERAGE(OFFSET($H$3,0,0,'Données projet'!$E$10+1,1))</f>
        <v>318.97291652986593</v>
      </c>
      <c r="AO160" s="59">
        <f t="shared" si="144"/>
        <v>338.19413170988122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2.3736463104871284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3.0942600643510079E-18</v>
      </c>
      <c r="AX160" s="21">
        <f t="shared" si="166"/>
        <v>2.3736463104871284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2.0572770154103635E-13</v>
      </c>
      <c r="BF160" s="13">
        <f t="shared" si="167"/>
        <v>2.8416956338469711E-12</v>
      </c>
      <c r="BG160" s="20">
        <f t="shared" si="168"/>
        <v>5.3075956424674458E-12</v>
      </c>
      <c r="BH160" s="59">
        <f t="shared" si="116"/>
        <v>293.3333333333386</v>
      </c>
      <c r="BI160" s="59">
        <f ca="1">AVERAGE(OFFSET($BH$3,0,0,'Données projet'!$E$11+1,1))-AVERAGE(OFFSET($H$3,0,0,'Données projet'!$E$11+1,1))</f>
        <v>436.23918637269577</v>
      </c>
      <c r="BJ160" s="59">
        <f t="shared" si="146"/>
        <v>611.43967996341894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1.2129364888132947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1.2129364888132947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-1.915395841933787E-13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507.79096804746297</v>
      </c>
      <c r="CE160" s="59">
        <f t="shared" si="148"/>
        <v>312.67921212138998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154.77345850984699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154.77345850984699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318.97291652986593</v>
      </c>
      <c r="T161" s="59">
        <f t="shared" si="142"/>
        <v>338.19413170988122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9">
        <f t="shared" si="113"/>
        <v>293.33333333334014</v>
      </c>
      <c r="AN161" s="59">
        <f ca="1">AVERAGE(OFFSET($AM$3,0,0,'Données projet'!$E$10+1,1))-AVERAGE(OFFSET($H$3,0,0,'Données projet'!$E$10+1,1))</f>
        <v>318.97291652986593</v>
      </c>
      <c r="AO161" s="59">
        <f t="shared" si="144"/>
        <v>338.19413170988122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2.3271005541197685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2.1879722742573206E-18</v>
      </c>
      <c r="AX161" s="21">
        <f t="shared" si="166"/>
        <v>2.3271005541197685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2.0572770154103635E-13</v>
      </c>
      <c r="BF161" s="13">
        <f t="shared" si="167"/>
        <v>2.8416956338469711E-12</v>
      </c>
      <c r="BG161" s="20">
        <f t="shared" si="168"/>
        <v>5.3075956424674458E-12</v>
      </c>
      <c r="BH161" s="59">
        <f t="shared" si="116"/>
        <v>293.3333333333386</v>
      </c>
      <c r="BI161" s="59">
        <f ca="1">AVERAGE(OFFSET($BH$3,0,0,'Données projet'!$E$11+1,1))-AVERAGE(OFFSET($H$3,0,0,'Données projet'!$E$11+1,1))</f>
        <v>436.23918637269577</v>
      </c>
      <c r="BJ161" s="59">
        <f t="shared" si="146"/>
        <v>611.43967996341894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1.1891515440858733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1.1891515440858733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-1.915395841933787E-13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507.79096804746297</v>
      </c>
      <c r="CE161" s="59">
        <f t="shared" si="148"/>
        <v>312.67921212138998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151.73844539095711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151.73844539095711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318.97291652986593</v>
      </c>
      <c r="T162" s="59">
        <f t="shared" si="142"/>
        <v>338.19413170988122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9">
        <f t="shared" si="113"/>
        <v>293.33333333334014</v>
      </c>
      <c r="AN162" s="59">
        <f ca="1">AVERAGE(OFFSET($AM$3,0,0,'Données projet'!$E$10+1,1))-AVERAGE(OFFSET($H$3,0,0,'Données projet'!$E$10+1,1))</f>
        <v>318.97291652986593</v>
      </c>
      <c r="AO162" s="59">
        <f t="shared" si="144"/>
        <v>338.19413170988122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2.2814675316446644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1.547130032175504E-18</v>
      </c>
      <c r="AX162" s="21">
        <f t="shared" si="166"/>
        <v>2.2814675316446644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2.0572770154103635E-13</v>
      </c>
      <c r="BF162" s="13">
        <f t="shared" si="167"/>
        <v>2.8416956338469711E-12</v>
      </c>
      <c r="BG162" s="20">
        <f t="shared" si="168"/>
        <v>5.3075956424674458E-12</v>
      </c>
      <c r="BH162" s="59">
        <f t="shared" si="116"/>
        <v>293.3333333333386</v>
      </c>
      <c r="BI162" s="59">
        <f ca="1">AVERAGE(OFFSET($BH$3,0,0,'Données projet'!$E$11+1,1))-AVERAGE(OFFSET($H$3,0,0,'Données projet'!$E$11+1,1))</f>
        <v>436.23918637269577</v>
      </c>
      <c r="BJ162" s="59">
        <f t="shared" si="146"/>
        <v>611.43967996341894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1.1658330076171728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1.1658330076171728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-1.915395841933787E-13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507.79096804746297</v>
      </c>
      <c r="CE162" s="59">
        <f t="shared" si="148"/>
        <v>312.67921212138998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148.76294702815343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148.76294702815343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318.97291652986593</v>
      </c>
      <c r="T163" s="59">
        <f t="shared" si="142"/>
        <v>338.19413170988122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9">
        <f t="shared" si="113"/>
        <v>293.33333333334014</v>
      </c>
      <c r="AN163" s="59">
        <f ca="1">AVERAGE(OFFSET($AM$3,0,0,'Données projet'!$E$10+1,1))-AVERAGE(OFFSET($H$3,0,0,'Données projet'!$E$10+1,1))</f>
        <v>318.97291652986593</v>
      </c>
      <c r="AO163" s="59">
        <f t="shared" si="144"/>
        <v>338.19413170988122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2.2367293449069021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1.0939861371286603E-18</v>
      </c>
      <c r="AX163" s="21">
        <f t="shared" si="166"/>
        <v>2.2367293449069021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2.0572770154103635E-13</v>
      </c>
      <c r="BF163" s="13">
        <f t="shared" si="167"/>
        <v>2.8416956338469711E-12</v>
      </c>
      <c r="BG163" s="20">
        <f t="shared" si="168"/>
        <v>5.3075956424674458E-12</v>
      </c>
      <c r="BH163" s="59">
        <f t="shared" si="116"/>
        <v>293.3333333333386</v>
      </c>
      <c r="BI163" s="59">
        <f ca="1">AVERAGE(OFFSET($BH$3,0,0,'Données projet'!$E$11+1,1))-AVERAGE(OFFSET($H$3,0,0,'Données projet'!$E$11+1,1))</f>
        <v>436.23918637269577</v>
      </c>
      <c r="BJ163" s="59">
        <f t="shared" si="146"/>
        <v>611.43967996341894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1.1429717334257206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1.1429717334257206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-1.915395841933787E-13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507.79096804746297</v>
      </c>
      <c r="CE163" s="59">
        <f t="shared" si="148"/>
        <v>312.67921212138998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145.84579637336955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145.84579637336955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318.97291652986593</v>
      </c>
      <c r="T164" s="59">
        <f t="shared" si="142"/>
        <v>338.19413170988122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9">
        <f t="shared" si="113"/>
        <v>293.33333333334014</v>
      </c>
      <c r="AN164" s="59">
        <f ca="1">AVERAGE(OFFSET($AM$3,0,0,'Données projet'!$E$10+1,1))-AVERAGE(OFFSET($H$3,0,0,'Données projet'!$E$10+1,1))</f>
        <v>318.97291652986593</v>
      </c>
      <c r="AO164" s="59">
        <f t="shared" si="144"/>
        <v>338.19413170988122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2.1928684467234678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7.7356501608775198E-19</v>
      </c>
      <c r="AX164" s="21">
        <f t="shared" si="166"/>
        <v>2.1928684467234678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2.0572770154103635E-13</v>
      </c>
      <c r="BF164" s="13">
        <f t="shared" si="167"/>
        <v>2.8416956338469711E-12</v>
      </c>
      <c r="BG164" s="20">
        <f t="shared" si="168"/>
        <v>5.3075956424674458E-12</v>
      </c>
      <c r="BH164" s="59">
        <f t="shared" si="116"/>
        <v>293.3333333333386</v>
      </c>
      <c r="BI164" s="59">
        <f ca="1">AVERAGE(OFFSET($BH$3,0,0,'Données projet'!$E$11+1,1))-AVERAGE(OFFSET($H$3,0,0,'Données projet'!$E$11+1,1))</f>
        <v>436.23918637269577</v>
      </c>
      <c r="BJ164" s="59">
        <f t="shared" si="146"/>
        <v>611.43967996341894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1.1205587548771623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1.1205587548771623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-1.915395841933787E-13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507.79096804746297</v>
      </c>
      <c r="CE164" s="59">
        <f t="shared" si="148"/>
        <v>312.67921212138998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142.98584926363978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142.98584926363978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318.97291652986593</v>
      </c>
      <c r="T165" s="59">
        <f t="shared" si="142"/>
        <v>338.19413170988122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9">
        <f t="shared" si="113"/>
        <v>293.33333333334014</v>
      </c>
      <c r="AN165" s="59">
        <f ca="1">AVERAGE(OFFSET($AM$3,0,0,'Données projet'!$E$10+1,1))-AVERAGE(OFFSET($H$3,0,0,'Données projet'!$E$10+1,1))</f>
        <v>318.97291652986593</v>
      </c>
      <c r="AO165" s="59">
        <f t="shared" si="144"/>
        <v>338.19413170988122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2.1498676340009042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5.4699306856433015E-19</v>
      </c>
      <c r="AX165" s="21">
        <f t="shared" si="166"/>
        <v>2.1498676340009042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2.0572770154103635E-13</v>
      </c>
      <c r="BF165" s="13">
        <f t="shared" si="167"/>
        <v>2.8416956338469711E-12</v>
      </c>
      <c r="BG165" s="20">
        <f t="shared" si="168"/>
        <v>5.3075956424674458E-12</v>
      </c>
      <c r="BH165" s="59">
        <f t="shared" si="116"/>
        <v>293.3333333333386</v>
      </c>
      <c r="BI165" s="59">
        <f ca="1">AVERAGE(OFFSET($BH$3,0,0,'Données projet'!$E$11+1,1))-AVERAGE(OFFSET($H$3,0,0,'Données projet'!$E$11+1,1))</f>
        <v>436.23918637269577</v>
      </c>
      <c r="BJ165" s="59">
        <f t="shared" si="146"/>
        <v>611.43967996341894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1.0985852811673742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1.0985852811673742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-1.915395841933787E-13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507.79096804746297</v>
      </c>
      <c r="CE165" s="59">
        <f t="shared" si="148"/>
        <v>312.67921212138998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140.1819839723363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140.1819839723363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318.97291652986593</v>
      </c>
      <c r="T166" s="59">
        <f t="shared" si="142"/>
        <v>338.19413170988122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9">
        <f t="shared" si="113"/>
        <v>293.33333333334014</v>
      </c>
      <c r="AN166" s="59">
        <f ca="1">AVERAGE(OFFSET($AM$3,0,0,'Données projet'!$E$10+1,1))-AVERAGE(OFFSET($H$3,0,0,'Données projet'!$E$10+1,1))</f>
        <v>318.97291652986593</v>
      </c>
      <c r="AO166" s="59">
        <f t="shared" si="144"/>
        <v>338.19413170988122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2.1077100409879241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3.8678250804387599E-19</v>
      </c>
      <c r="AX166" s="21">
        <f t="shared" si="166"/>
        <v>2.1077100409879241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2.0572770154103635E-13</v>
      </c>
      <c r="BF166" s="13">
        <f t="shared" si="167"/>
        <v>2.8416956338469711E-12</v>
      </c>
      <c r="BG166" s="20">
        <f t="shared" si="168"/>
        <v>5.3075956424674458E-12</v>
      </c>
      <c r="BH166" s="59">
        <f t="shared" si="116"/>
        <v>293.3333333333386</v>
      </c>
      <c r="BI166" s="59">
        <f ca="1">AVERAGE(OFFSET($BH$3,0,0,'Données projet'!$E$11+1,1))-AVERAGE(OFFSET($H$3,0,0,'Données projet'!$E$11+1,1))</f>
        <v>436.23918637269577</v>
      </c>
      <c r="BJ166" s="59">
        <f t="shared" si="146"/>
        <v>611.43967996341894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1.0770426938745394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1.0770426938745394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-1.915395841933787E-13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507.79096804746297</v>
      </c>
      <c r="CE166" s="59">
        <f t="shared" si="148"/>
        <v>312.67921212138998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137.43310076920633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137.43310076920633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318.97291652986593</v>
      </c>
      <c r="T167" s="59">
        <f t="shared" si="142"/>
        <v>338.19413170988122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9">
        <f t="shared" si="113"/>
        <v>293.33333333334014</v>
      </c>
      <c r="AN167" s="59">
        <f ca="1">AVERAGE(OFFSET($AM$3,0,0,'Données projet'!$E$10+1,1))-AVERAGE(OFFSET($H$3,0,0,'Données projet'!$E$10+1,1))</f>
        <v>318.97291652986593</v>
      </c>
      <c r="AO167" s="59">
        <f t="shared" si="144"/>
        <v>338.19413170988122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2.066379132660336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2.7349653428216507E-19</v>
      </c>
      <c r="AX167" s="21">
        <f t="shared" si="166"/>
        <v>2.066379132660336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2.0572770154103635E-13</v>
      </c>
      <c r="BF167" s="13">
        <f t="shared" si="167"/>
        <v>2.8416956338469711E-12</v>
      </c>
      <c r="BG167" s="20">
        <f t="shared" si="168"/>
        <v>5.3075956424674458E-12</v>
      </c>
      <c r="BH167" s="59">
        <f t="shared" si="116"/>
        <v>293.3333333333386</v>
      </c>
      <c r="BI167" s="59">
        <f ca="1">AVERAGE(OFFSET($BH$3,0,0,'Données projet'!$E$11+1,1))-AVERAGE(OFFSET($H$3,0,0,'Données projet'!$E$11+1,1))</f>
        <v>436.23918637269577</v>
      </c>
      <c r="BJ167" s="59">
        <f t="shared" si="146"/>
        <v>611.43967996341894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1.0559225435788364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1.0559225435788364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-1.915395841933787E-13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507.79096804746297</v>
      </c>
      <c r="CE167" s="59">
        <f t="shared" si="148"/>
        <v>312.67921212138998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134.73812148903656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134.73812148903656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318.97291652986593</v>
      </c>
      <c r="T168" s="59">
        <f t="shared" si="142"/>
        <v>338.19413170988122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9">
        <f t="shared" si="113"/>
        <v>293.33333333334014</v>
      </c>
      <c r="AN168" s="59">
        <f ca="1">AVERAGE(OFFSET($AM$3,0,0,'Données projet'!$E$10+1,1))-AVERAGE(OFFSET($H$3,0,0,'Données projet'!$E$10+1,1))</f>
        <v>318.97291652986593</v>
      </c>
      <c r="AO168" s="59">
        <f t="shared" si="144"/>
        <v>338.19413170988122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2.025858698235687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1.9339125402193799E-19</v>
      </c>
      <c r="AX168" s="21">
        <f t="shared" si="166"/>
        <v>2.025858698235687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2.0572770154103635E-13</v>
      </c>
      <c r="BF168" s="13">
        <f t="shared" si="167"/>
        <v>2.8416956338469711E-12</v>
      </c>
      <c r="BG168" s="20">
        <f t="shared" si="168"/>
        <v>5.3075956424674458E-12</v>
      </c>
      <c r="BH168" s="59">
        <f t="shared" si="116"/>
        <v>293.3333333333386</v>
      </c>
      <c r="BI168" s="59">
        <f ca="1">AVERAGE(OFFSET($BH$3,0,0,'Données projet'!$E$11+1,1))-AVERAGE(OFFSET($H$3,0,0,'Données projet'!$E$11+1,1))</f>
        <v>436.23918637269577</v>
      </c>
      <c r="BJ168" s="59">
        <f t="shared" si="146"/>
        <v>611.43967996341894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1.0352165465484124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1.0352165465484124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-1.915395841933787E-13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507.79096804746297</v>
      </c>
      <c r="CE168" s="59">
        <f t="shared" si="148"/>
        <v>312.67921212138998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132.09598910877585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132.09598910877585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318.97291652986593</v>
      </c>
      <c r="T169" s="59">
        <f t="shared" si="142"/>
        <v>338.19413170988122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9">
        <f t="shared" si="113"/>
        <v>293.33333333334014</v>
      </c>
      <c r="AN169" s="59">
        <f ca="1">AVERAGE(OFFSET($AM$3,0,0,'Données projet'!$E$10+1,1))-AVERAGE(OFFSET($H$3,0,0,'Données projet'!$E$10+1,1))</f>
        <v>318.97291652986593</v>
      </c>
      <c r="AO169" s="59">
        <f t="shared" si="144"/>
        <v>338.19413170988122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1.9861328448150806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1.3674826714108254E-19</v>
      </c>
      <c r="AX169" s="21">
        <f t="shared" si="166"/>
        <v>1.9861328448150806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2.0572770154103635E-13</v>
      </c>
      <c r="BF169" s="13">
        <f t="shared" si="167"/>
        <v>2.8416956338469711E-12</v>
      </c>
      <c r="BG169" s="20">
        <f t="shared" si="168"/>
        <v>5.3075956424674458E-12</v>
      </c>
      <c r="BH169" s="59">
        <f t="shared" si="116"/>
        <v>293.3333333333386</v>
      </c>
      <c r="BI169" s="59">
        <f ca="1">AVERAGE(OFFSET($BH$3,0,0,'Données projet'!$E$11+1,1))-AVERAGE(OFFSET($H$3,0,0,'Données projet'!$E$11+1,1))</f>
        <v>436.23918637269577</v>
      </c>
      <c r="BJ169" s="59">
        <f t="shared" si="146"/>
        <v>611.43967996341894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1.014916581490344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1.014916581490344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-1.915395841933787E-13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507.79096804746297</v>
      </c>
      <c r="CE169" s="59">
        <f t="shared" si="148"/>
        <v>312.67921212138998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129.50566733295042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129.50566733295042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318.97291652986593</v>
      </c>
      <c r="T170" s="59">
        <f t="shared" si="142"/>
        <v>338.19413170988122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9">
        <f t="shared" si="113"/>
        <v>293.33333333334014</v>
      </c>
      <c r="AN170" s="59">
        <f ca="1">AVERAGE(OFFSET($AM$3,0,0,'Données projet'!$E$10+1,1))-AVERAGE(OFFSET($H$3,0,0,'Données projet'!$E$10+1,1))</f>
        <v>318.97291652986593</v>
      </c>
      <c r="AO170" s="59">
        <f t="shared" si="144"/>
        <v>338.19413170988122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1.9471859911496743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9.6695627010968997E-20</v>
      </c>
      <c r="AX170" s="21">
        <f t="shared" si="166"/>
        <v>1.9471859911496743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2.0572770154103635E-13</v>
      </c>
      <c r="BF170" s="13">
        <f t="shared" si="167"/>
        <v>2.8416956338469711E-12</v>
      </c>
      <c r="BG170" s="20">
        <f t="shared" si="168"/>
        <v>5.3075956424674458E-12</v>
      </c>
      <c r="BH170" s="59">
        <f t="shared" si="116"/>
        <v>293.3333333333386</v>
      </c>
      <c r="BI170" s="59">
        <f ca="1">AVERAGE(OFFSET($BH$3,0,0,'Données projet'!$E$11+1,1))-AVERAGE(OFFSET($H$3,0,0,'Données projet'!$E$11+1,1))</f>
        <v>436.23918637269577</v>
      </c>
      <c r="BJ170" s="59">
        <f t="shared" si="146"/>
        <v>611.43967996341894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0.99501468636530821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0.99501468636530821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-1.915395841933787E-13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507.79096804746297</v>
      </c>
      <c r="CE170" s="59">
        <f t="shared" si="148"/>
        <v>312.67921212138998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126.96614018720867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126.96614018720867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318.97291652986593</v>
      </c>
      <c r="T171" s="59">
        <f t="shared" si="142"/>
        <v>338.19413170988122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9">
        <f t="shared" si="113"/>
        <v>293.33333333334014</v>
      </c>
      <c r="AN171" s="59">
        <f ca="1">AVERAGE(OFFSET($AM$3,0,0,'Données projet'!$E$10+1,1))-AVERAGE(OFFSET($H$3,0,0,'Données projet'!$E$10+1,1))</f>
        <v>318.97291652986593</v>
      </c>
      <c r="AO171" s="59">
        <f t="shared" si="144"/>
        <v>338.19413170988122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1.9090028615294115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6.8374133570541268E-20</v>
      </c>
      <c r="AX171" s="21">
        <f t="shared" si="166"/>
        <v>1.9090028615294115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2.0572770154103635E-13</v>
      </c>
      <c r="BF171" s="13">
        <f t="shared" si="167"/>
        <v>2.8416956338469711E-12</v>
      </c>
      <c r="BG171" s="20">
        <f t="shared" si="168"/>
        <v>5.3075956424674458E-12</v>
      </c>
      <c r="BH171" s="59">
        <f t="shared" si="116"/>
        <v>293.3333333333386</v>
      </c>
      <c r="BI171" s="59">
        <f ca="1">AVERAGE(OFFSET($BH$3,0,0,'Données projet'!$E$11+1,1))-AVERAGE(OFFSET($H$3,0,0,'Données projet'!$E$11+1,1))</f>
        <v>436.23918637269577</v>
      </c>
      <c r="BJ171" s="59">
        <f t="shared" si="146"/>
        <v>611.43967996341894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0.97550305526471692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0.97550305526471692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-1.915395841933787E-13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507.79096804746297</v>
      </c>
      <c r="CE171" s="59">
        <f t="shared" si="148"/>
        <v>312.67921212138998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124.47641161983628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124.47641161983628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318.97291652986593</v>
      </c>
      <c r="T172" s="59">
        <f t="shared" si="142"/>
        <v>338.19413170988122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9">
        <f t="shared" si="113"/>
        <v>293.33333333334014</v>
      </c>
      <c r="AN172" s="59">
        <f ca="1">AVERAGE(OFFSET($AM$3,0,0,'Données projet'!$E$10+1,1))-AVERAGE(OFFSET($H$3,0,0,'Données projet'!$E$10+1,1))</f>
        <v>318.97291652986593</v>
      </c>
      <c r="AO172" s="59">
        <f t="shared" si="144"/>
        <v>338.19413170988122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1.8715684797915926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4.8347813505484499E-20</v>
      </c>
      <c r="AX172" s="21">
        <f t="shared" si="166"/>
        <v>1.8715684797915926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2.0572770154103635E-13</v>
      </c>
      <c r="BF172" s="13">
        <f t="shared" si="167"/>
        <v>2.8416956338469711E-12</v>
      </c>
      <c r="BG172" s="20">
        <f t="shared" si="168"/>
        <v>5.3075956424674458E-12</v>
      </c>
      <c r="BH172" s="59">
        <f t="shared" si="116"/>
        <v>293.3333333333386</v>
      </c>
      <c r="BI172" s="59">
        <f ca="1">AVERAGE(OFFSET($BH$3,0,0,'Données projet'!$E$11+1,1))-AVERAGE(OFFSET($H$3,0,0,'Données projet'!$E$11+1,1))</f>
        <v>436.23918637269577</v>
      </c>
      <c r="BJ172" s="59">
        <f t="shared" si="146"/>
        <v>611.43967996341894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0.95637403534908838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0.95637403534908838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-1.915395841933787E-13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507.79096804746297</v>
      </c>
      <c r="CE172" s="59">
        <f t="shared" si="148"/>
        <v>312.67921212138998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122.0355051110856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122.0355051110856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318.97291652986593</v>
      </c>
      <c r="T173" s="59">
        <f t="shared" si="142"/>
        <v>338.19413170988122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9">
        <f t="shared" si="113"/>
        <v>293.33333333334014</v>
      </c>
      <c r="AN173" s="59">
        <f ca="1">AVERAGE(OFFSET($AM$3,0,0,'Données projet'!$E$10+1,1))-AVERAGE(OFFSET($H$3,0,0,'Données projet'!$E$10+1,1))</f>
        <v>318.97291652986593</v>
      </c>
      <c r="AO173" s="59">
        <f t="shared" si="144"/>
        <v>338.19413170988122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1.8348681634469339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3.4187066785270634E-20</v>
      </c>
      <c r="AX173" s="21">
        <f t="shared" si="166"/>
        <v>1.8348681634469339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2.0572770154103635E-13</v>
      </c>
      <c r="BF173" s="13">
        <f t="shared" si="167"/>
        <v>2.8416956338469711E-12</v>
      </c>
      <c r="BG173" s="20">
        <f t="shared" si="168"/>
        <v>5.3075956424674458E-12</v>
      </c>
      <c r="BH173" s="59">
        <f t="shared" si="116"/>
        <v>293.3333333333386</v>
      </c>
      <c r="BI173" s="59">
        <f ca="1">AVERAGE(OFFSET($BH$3,0,0,'Données projet'!$E$11+1,1))-AVERAGE(OFFSET($H$3,0,0,'Données projet'!$E$11+1,1))</f>
        <v>436.23918637269577</v>
      </c>
      <c r="BJ173" s="59">
        <f t="shared" si="146"/>
        <v>611.43967996341894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0.93762012384645521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0.93762012384645521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-1.915395841933787E-13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507.79096804746297</v>
      </c>
      <c r="CE173" s="59">
        <f t="shared" si="148"/>
        <v>312.67921212138998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119.64246329016555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119.64246329016555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318.97291652986593</v>
      </c>
      <c r="T174" s="59">
        <f t="shared" si="142"/>
        <v>338.19413170988122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9">
        <f t="shared" si="113"/>
        <v>293.33333333334014</v>
      </c>
      <c r="AN174" s="59">
        <f ca="1">AVERAGE(OFFSET($AM$3,0,0,'Données projet'!$E$10+1,1))-AVERAGE(OFFSET($H$3,0,0,'Données projet'!$E$10+1,1))</f>
        <v>318.97291652986593</v>
      </c>
      <c r="AO174" s="59">
        <f t="shared" si="144"/>
        <v>338.19413170988122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1.7988875179208115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2.4173906752742249E-20</v>
      </c>
      <c r="AX174" s="21">
        <f t="shared" si="166"/>
        <v>1.7988875179208115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2.0572770154103635E-13</v>
      </c>
      <c r="BF174" s="13">
        <f t="shared" si="167"/>
        <v>2.8416956338469711E-12</v>
      </c>
      <c r="BG174" s="20">
        <f t="shared" si="168"/>
        <v>5.3075956424674458E-12</v>
      </c>
      <c r="BH174" s="59">
        <f t="shared" si="116"/>
        <v>293.3333333333386</v>
      </c>
      <c r="BI174" s="59">
        <f ca="1">AVERAGE(OFFSET($BH$3,0,0,'Données projet'!$E$11+1,1))-AVERAGE(OFFSET($H$3,0,0,'Données projet'!$E$11+1,1))</f>
        <v>436.23918637269577</v>
      </c>
      <c r="BJ174" s="59">
        <f t="shared" si="146"/>
        <v>611.43967996341894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0.91923396510963218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0.91923396510963218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-1.915395841933787E-13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507.79096804746297</v>
      </c>
      <c r="CE174" s="59">
        <f t="shared" si="148"/>
        <v>312.67921212138998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117.29634755974236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117.29634755974236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318.97291652986593</v>
      </c>
      <c r="T175" s="59">
        <f t="shared" si="142"/>
        <v>338.19413170988122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9">
        <f t="shared" si="113"/>
        <v>293.33333333334014</v>
      </c>
      <c r="AN175" s="59">
        <f ca="1">AVERAGE(OFFSET($AM$3,0,0,'Données projet'!$E$10+1,1))-AVERAGE(OFFSET($H$3,0,0,'Données projet'!$E$10+1,1))</f>
        <v>318.97291652986593</v>
      </c>
      <c r="AO175" s="59">
        <f t="shared" si="144"/>
        <v>338.19413170988122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1.7636124309074295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1.7093533392635317E-20</v>
      </c>
      <c r="AX175" s="21">
        <f t="shared" si="166"/>
        <v>1.7636124309074295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2.0572770154103635E-13</v>
      </c>
      <c r="BF175" s="13">
        <f t="shared" si="167"/>
        <v>2.8416956338469711E-12</v>
      </c>
      <c r="BG175" s="20">
        <f t="shared" si="168"/>
        <v>5.3075956424674458E-12</v>
      </c>
      <c r="BH175" s="59">
        <f t="shared" si="116"/>
        <v>293.3333333333386</v>
      </c>
      <c r="BI175" s="59">
        <f ca="1">AVERAGE(OFFSET($BH$3,0,0,'Données projet'!$E$11+1,1))-AVERAGE(OFFSET($H$3,0,0,'Données projet'!$E$11+1,1))</f>
        <v>436.23918637269577</v>
      </c>
      <c r="BJ175" s="59">
        <f t="shared" si="146"/>
        <v>611.43967996341894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0.90120834773118874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0.90120834773118874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-1.915395841933787E-13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507.79096804746297</v>
      </c>
      <c r="CE175" s="59">
        <f t="shared" si="148"/>
        <v>312.67921212138998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114.99623772780346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114.99623772780346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318.97291652986593</v>
      </c>
      <c r="T176" s="59">
        <f t="shared" si="142"/>
        <v>338.19413170988122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9">
        <f t="shared" si="113"/>
        <v>293.33333333334014</v>
      </c>
      <c r="AN176" s="59">
        <f ca="1">AVERAGE(OFFSET($AM$3,0,0,'Données projet'!$E$10+1,1))-AVERAGE(OFFSET($H$3,0,0,'Données projet'!$E$10+1,1))</f>
        <v>318.97291652986593</v>
      </c>
      <c r="AO176" s="59">
        <f t="shared" si="144"/>
        <v>338.19413170988122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1.7290290668347013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1.2086953376371125E-20</v>
      </c>
      <c r="AX176" s="21">
        <f t="shared" si="166"/>
        <v>1.7290290668347013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2.0572770154103635E-13</v>
      </c>
      <c r="BF176" s="13">
        <f t="shared" si="167"/>
        <v>2.8416956338469711E-12</v>
      </c>
      <c r="BG176" s="20">
        <f t="shared" si="168"/>
        <v>5.3075956424674458E-12</v>
      </c>
      <c r="BH176" s="59">
        <f t="shared" si="116"/>
        <v>293.3333333333386</v>
      </c>
      <c r="BI176" s="59">
        <f ca="1">AVERAGE(OFFSET($BH$3,0,0,'Données projet'!$E$11+1,1))-AVERAGE(OFFSET($H$3,0,0,'Données projet'!$E$11+1,1))</f>
        <v>436.23918637269577</v>
      </c>
      <c r="BJ176" s="59">
        <f t="shared" si="146"/>
        <v>611.43967996341894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0.88353620171499558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0.88353620171499558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-1.915395841933787E-13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507.79096804746297</v>
      </c>
      <c r="CE176" s="59">
        <f t="shared" si="148"/>
        <v>312.67921212138998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112.74123164674042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112.74123164674042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318.97291652986593</v>
      </c>
      <c r="T177" s="59">
        <f t="shared" si="142"/>
        <v>338.19413170988122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9">
        <f t="shared" si="113"/>
        <v>293.33333333334014</v>
      </c>
      <c r="AN177" s="59">
        <f ca="1">AVERAGE(OFFSET($AM$3,0,0,'Données projet'!$E$10+1,1))-AVERAGE(OFFSET($H$3,0,0,'Données projet'!$E$10+1,1))</f>
        <v>318.97291652986593</v>
      </c>
      <c r="AO177" s="59">
        <f t="shared" si="144"/>
        <v>338.19413170988122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1.69512386143767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8.5467666963176586E-21</v>
      </c>
      <c r="AX177" s="21">
        <f t="shared" si="166"/>
        <v>1.69512386143767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2.0572770154103635E-13</v>
      </c>
      <c r="BF177" s="13">
        <f t="shared" si="167"/>
        <v>2.8416956338469711E-12</v>
      </c>
      <c r="BG177" s="20">
        <f t="shared" si="168"/>
        <v>5.3075956424674458E-12</v>
      </c>
      <c r="BH177" s="59">
        <f t="shared" si="116"/>
        <v>293.3333333333386</v>
      </c>
      <c r="BI177" s="59">
        <f ca="1">AVERAGE(OFFSET($BH$3,0,0,'Données projet'!$E$11+1,1))-AVERAGE(OFFSET($H$3,0,0,'Données projet'!$E$11+1,1))</f>
        <v>436.23918637269577</v>
      </c>
      <c r="BJ177" s="59">
        <f t="shared" si="146"/>
        <v>611.43967996341894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0.86621059570323522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0.86621059570323522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-1.915395841933787E-13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507.79096804746297</v>
      </c>
      <c r="CE177" s="59">
        <f t="shared" si="148"/>
        <v>312.67921212138998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110.53044485950913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110.53044485950913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318.97291652986593</v>
      </c>
      <c r="T178" s="59">
        <f t="shared" si="142"/>
        <v>338.19413170988122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9">
        <f t="shared" si="113"/>
        <v>293.33333333334014</v>
      </c>
      <c r="AN178" s="59">
        <f ca="1">AVERAGE(OFFSET($AM$3,0,0,'Données projet'!$E$10+1,1))-AVERAGE(OFFSET($H$3,0,0,'Données projet'!$E$10+1,1))</f>
        <v>318.97291652986593</v>
      </c>
      <c r="AO178" s="59">
        <f t="shared" si="144"/>
        <v>338.19413170988122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1.6618835164383414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6.0434766881855623E-21</v>
      </c>
      <c r="AX178" s="21">
        <f t="shared" si="166"/>
        <v>1.6618835164383414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2.0572770154103635E-13</v>
      </c>
      <c r="BF178" s="13">
        <f t="shared" si="167"/>
        <v>2.8416956338469711E-12</v>
      </c>
      <c r="BG178" s="20">
        <f t="shared" si="168"/>
        <v>5.3075956424674458E-12</v>
      </c>
      <c r="BH178" s="59">
        <f t="shared" si="116"/>
        <v>293.3333333333386</v>
      </c>
      <c r="BI178" s="59">
        <f ca="1">AVERAGE(OFFSET($BH$3,0,0,'Données projet'!$E$11+1,1))-AVERAGE(OFFSET($H$3,0,0,'Données projet'!$E$11+1,1))</f>
        <v>436.23918637269577</v>
      </c>
      <c r="BJ178" s="59">
        <f t="shared" si="146"/>
        <v>611.43967996341894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0.84922473425778933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0.84922473425778933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-1.915395841933787E-13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507.79096804746297</v>
      </c>
      <c r="CE178" s="59">
        <f t="shared" si="148"/>
        <v>312.67921212138998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108.36301025272866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108.36301025272866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318.97291652986593</v>
      </c>
      <c r="T179" s="59">
        <f t="shared" si="142"/>
        <v>338.19413170988122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9">
        <f t="shared" si="113"/>
        <v>293.33333333334014</v>
      </c>
      <c r="AN179" s="59">
        <f ca="1">AVERAGE(OFFSET($AM$3,0,0,'Données projet'!$E$10+1,1))-AVERAGE(OFFSET($H$3,0,0,'Données projet'!$E$10+1,1))</f>
        <v>318.97291652986593</v>
      </c>
      <c r="AO179" s="59">
        <f t="shared" si="144"/>
        <v>338.19413170988122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1.6292949943298412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4.2733833481588293E-21</v>
      </c>
      <c r="AX179" s="21">
        <f t="shared" si="166"/>
        <v>1.6292949943298412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2.0572770154103635E-13</v>
      </c>
      <c r="BF179" s="13">
        <f t="shared" si="167"/>
        <v>2.8416956338469711E-12</v>
      </c>
      <c r="BG179" s="20">
        <f t="shared" si="168"/>
        <v>5.3075956424674458E-12</v>
      </c>
      <c r="BH179" s="59">
        <f t="shared" si="116"/>
        <v>293.3333333333386</v>
      </c>
      <c r="BI179" s="59">
        <f ca="1">AVERAGE(OFFSET($BH$3,0,0,'Données projet'!$E$11+1,1))-AVERAGE(OFFSET($H$3,0,0,'Données projet'!$E$11+1,1))</f>
        <v>436.23918637269577</v>
      </c>
      <c r="BJ179" s="59">
        <f t="shared" si="146"/>
        <v>611.43967996341894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0.8325719551949361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0.8325719551949361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-1.915395841933787E-13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507.79096804746297</v>
      </c>
      <c r="CE179" s="59">
        <f t="shared" si="148"/>
        <v>312.67921212138998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106.23807771658257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106.23807771658257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318.97291652986593</v>
      </c>
      <c r="T180" s="59">
        <f t="shared" si="142"/>
        <v>338.19413170988122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9">
        <f t="shared" si="113"/>
        <v>293.33333333334014</v>
      </c>
      <c r="AN180" s="59">
        <f ca="1">AVERAGE(OFFSET($AM$3,0,0,'Données projet'!$E$10+1,1))-AVERAGE(OFFSET($H$3,0,0,'Données projet'!$E$10+1,1))</f>
        <v>318.97291652986593</v>
      </c>
      <c r="AO180" s="59">
        <f t="shared" si="144"/>
        <v>338.19413170988122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1.5973455132628527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3.0217383440927812E-21</v>
      </c>
      <c r="AX180" s="21">
        <f t="shared" si="166"/>
        <v>1.5973455132628527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2.0572770154103635E-13</v>
      </c>
      <c r="BF180" s="13">
        <f t="shared" si="167"/>
        <v>2.8416956338469711E-12</v>
      </c>
      <c r="BG180" s="20">
        <f t="shared" si="168"/>
        <v>5.3075956424674458E-12</v>
      </c>
      <c r="BH180" s="59">
        <f t="shared" si="116"/>
        <v>293.3333333333386</v>
      </c>
      <c r="BI180" s="59">
        <f ca="1">AVERAGE(OFFSET($BH$3,0,0,'Données projet'!$E$11+1,1))-AVERAGE(OFFSET($H$3,0,0,'Données projet'!$E$11+1,1))</f>
        <v>436.23918637269577</v>
      </c>
      <c r="BJ180" s="59">
        <f t="shared" si="146"/>
        <v>611.43967996341894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0.81624572697231312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0.81624572697231312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-1.915395841933787E-13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507.79096804746297</v>
      </c>
      <c r="CE180" s="59">
        <f t="shared" si="148"/>
        <v>312.67921212138998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104.15481381138943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104.15481381138943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318.97291652986593</v>
      </c>
      <c r="T181" s="59">
        <f t="shared" si="142"/>
        <v>338.19413170988122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9">
        <f t="shared" si="113"/>
        <v>293.33333333334014</v>
      </c>
      <c r="AN181" s="59">
        <f ca="1">AVERAGE(OFFSET($AM$3,0,0,'Données projet'!$E$10+1,1))-AVERAGE(OFFSET($H$3,0,0,'Données projet'!$E$10+1,1))</f>
        <v>318.97291652986593</v>
      </c>
      <c r="AO181" s="59">
        <f t="shared" si="144"/>
        <v>338.19413170988122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1.5660225420323286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2.1366916740794146E-21</v>
      </c>
      <c r="AX181" s="21">
        <f t="shared" si="166"/>
        <v>1.5660225420323286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2.0572770154103635E-13</v>
      </c>
      <c r="BF181" s="13">
        <f t="shared" si="167"/>
        <v>2.8416956338469711E-12</v>
      </c>
      <c r="BG181" s="20">
        <f t="shared" si="168"/>
        <v>5.3075956424674458E-12</v>
      </c>
      <c r="BH181" s="59">
        <f t="shared" si="116"/>
        <v>293.3333333333386</v>
      </c>
      <c r="BI181" s="59">
        <f ca="1">AVERAGE(OFFSET($BH$3,0,0,'Données projet'!$E$11+1,1))-AVERAGE(OFFSET($H$3,0,0,'Données projet'!$E$11+1,1))</f>
        <v>436.23918637269577</v>
      </c>
      <c r="BJ181" s="59">
        <f t="shared" si="146"/>
        <v>611.43967996341894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0.80023964612711984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0.80023964612711984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-1.915395841933787E-13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507.79096804746297</v>
      </c>
      <c r="CE181" s="59">
        <f t="shared" si="148"/>
        <v>312.67921212138998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102.11240144071162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102.11240144071162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318.97291652986593</v>
      </c>
      <c r="T182" s="59">
        <f t="shared" si="142"/>
        <v>338.19413170988122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9">
        <f t="shared" si="113"/>
        <v>293.33333333334014</v>
      </c>
      <c r="AN182" s="59">
        <f ca="1">AVERAGE(OFFSET($AM$3,0,0,'Données projet'!$E$10+1,1))-AVERAGE(OFFSET($H$3,0,0,'Données projet'!$E$10+1,1))</f>
        <v>318.97291652986593</v>
      </c>
      <c r="AO182" s="59">
        <f t="shared" si="144"/>
        <v>338.19413170988122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1.5353137951625091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1.5108691720463906E-21</v>
      </c>
      <c r="AX182" s="21">
        <f t="shared" si="166"/>
        <v>1.5353137951625091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2.0572770154103635E-13</v>
      </c>
      <c r="BF182" s="13">
        <f t="shared" si="167"/>
        <v>2.8416956338469711E-12</v>
      </c>
      <c r="BG182" s="20">
        <f t="shared" si="168"/>
        <v>5.3075956424674458E-12</v>
      </c>
      <c r="BH182" s="59">
        <f t="shared" si="116"/>
        <v>293.3333333333386</v>
      </c>
      <c r="BI182" s="59">
        <f ca="1">AVERAGE(OFFSET($BH$3,0,0,'Données projet'!$E$11+1,1))-AVERAGE(OFFSET($H$3,0,0,'Données projet'!$E$11+1,1))</f>
        <v>436.23918637269577</v>
      </c>
      <c r="BJ182" s="59">
        <f t="shared" si="146"/>
        <v>611.43967996341894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0.78454743476455546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0.78454743476455546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-1.915395841933787E-13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507.79096804746297</v>
      </c>
      <c r="CE182" s="59">
        <f t="shared" si="148"/>
        <v>312.67921212138998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100.11003953087427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100.11003953087427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318.97291652986593</v>
      </c>
      <c r="T183" s="59">
        <f t="shared" si="142"/>
        <v>338.19413170988122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9">
        <f t="shared" si="113"/>
        <v>293.33333333334014</v>
      </c>
      <c r="AN183" s="59">
        <f ca="1">AVERAGE(OFFSET($AM$3,0,0,'Données projet'!$E$10+1,1))-AVERAGE(OFFSET($H$3,0,0,'Données projet'!$E$10+1,1))</f>
        <v>318.97291652986593</v>
      </c>
      <c r="AO183" s="59">
        <f t="shared" si="144"/>
        <v>338.19413170988122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1.5052072280883206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1.0683458370397073E-21</v>
      </c>
      <c r="AX183" s="21">
        <f t="shared" si="166"/>
        <v>1.5052072280883206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2.0572770154103635E-13</v>
      </c>
      <c r="BF183" s="13">
        <f t="shared" si="167"/>
        <v>2.8416956338469711E-12</v>
      </c>
      <c r="BG183" s="20">
        <f t="shared" si="168"/>
        <v>5.3075956424674458E-12</v>
      </c>
      <c r="BH183" s="59">
        <f t="shared" si="116"/>
        <v>293.3333333333386</v>
      </c>
      <c r="BI183" s="59">
        <f ca="1">AVERAGE(OFFSET($BH$3,0,0,'Données projet'!$E$11+1,1))-AVERAGE(OFFSET($H$3,0,0,'Données projet'!$E$11+1,1))</f>
        <v>436.23918637269577</v>
      </c>
      <c r="BJ183" s="59">
        <f t="shared" si="146"/>
        <v>611.43967996341894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0.76916293809550718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0.76916293809550718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-1.915395841933787E-13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507.79096804746297</v>
      </c>
      <c r="CE183" s="59">
        <f t="shared" si="148"/>
        <v>312.67921212138998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98.146942716768663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98.146942716768663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318.97291652986593</v>
      </c>
      <c r="T184" s="59">
        <f t="shared" si="142"/>
        <v>338.19413170988122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9">
        <f t="shared" si="113"/>
        <v>293.33333333334014</v>
      </c>
      <c r="AN184" s="59">
        <f ca="1">AVERAGE(OFFSET($AM$3,0,0,'Données projet'!$E$10+1,1))-AVERAGE(OFFSET($H$3,0,0,'Données projet'!$E$10+1,1))</f>
        <v>318.97291652986593</v>
      </c>
      <c r="AO184" s="59">
        <f t="shared" si="144"/>
        <v>338.19413170988122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1.4756910324312644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7.5543458602319529E-22</v>
      </c>
      <c r="AX184" s="21">
        <f t="shared" si="166"/>
        <v>1.4756910324312644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2.0572770154103635E-13</v>
      </c>
      <c r="BF184" s="13">
        <f t="shared" si="167"/>
        <v>2.8416956338469711E-12</v>
      </c>
      <c r="BG184" s="20">
        <f t="shared" si="168"/>
        <v>5.3075956424674458E-12</v>
      </c>
      <c r="BH184" s="59">
        <f t="shared" si="116"/>
        <v>293.3333333333386</v>
      </c>
      <c r="BI184" s="59">
        <f ca="1">AVERAGE(OFFSET($BH$3,0,0,'Données projet'!$E$11+1,1))-AVERAGE(OFFSET($H$3,0,0,'Données projet'!$E$11+1,1))</f>
        <v>436.23918637269577</v>
      </c>
      <c r="BJ184" s="59">
        <f t="shared" si="146"/>
        <v>611.43967996341894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0.7540801220225225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0.7540801220225225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-1.915395841933787E-13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507.79096804746297</v>
      </c>
      <c r="CE184" s="59">
        <f t="shared" si="148"/>
        <v>312.67921212138998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96.222341033816832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96.222341033816832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318.97291652986593</v>
      </c>
      <c r="T185" s="59">
        <f t="shared" si="142"/>
        <v>338.19413170988122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9">
        <f t="shared" si="113"/>
        <v>293.33333333334014</v>
      </c>
      <c r="AN185" s="59">
        <f ca="1">AVERAGE(OFFSET($AM$3,0,0,'Données projet'!$E$10+1,1))-AVERAGE(OFFSET($H$3,0,0,'Données projet'!$E$10+1,1))</f>
        <v>318.97291652986593</v>
      </c>
      <c r="AO185" s="59">
        <f t="shared" si="144"/>
        <v>338.19413170988122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1.4467536313679414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5.3417291851985366E-22</v>
      </c>
      <c r="AX185" s="21">
        <f t="shared" si="166"/>
        <v>1.4467536313679414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2.0572770154103635E-13</v>
      </c>
      <c r="BF185" s="13">
        <f t="shared" si="167"/>
        <v>2.8416956338469711E-12</v>
      </c>
      <c r="BG185" s="20">
        <f t="shared" si="168"/>
        <v>5.3075956424674458E-12</v>
      </c>
      <c r="BH185" s="59">
        <f t="shared" si="116"/>
        <v>293.3333333333386</v>
      </c>
      <c r="BI185" s="59">
        <f ca="1">AVERAGE(OFFSET($BH$3,0,0,'Données projet'!$E$11+1,1))-AVERAGE(OFFSET($H$3,0,0,'Données projet'!$E$11+1,1))</f>
        <v>436.23918637269577</v>
      </c>
      <c r="BJ185" s="59">
        <f t="shared" si="146"/>
        <v>611.43967996341894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0.73929307077311968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0.73929307077311968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-1.915395841933787E-13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507.79096804746297</v>
      </c>
      <c r="CE185" s="59">
        <f t="shared" si="148"/>
        <v>312.67921212138998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94.335479615976581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94.335479615976581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318.97291652986593</v>
      </c>
      <c r="T186" s="59">
        <f t="shared" si="142"/>
        <v>338.19413170988122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9">
        <f t="shared" si="113"/>
        <v>293.33333333334014</v>
      </c>
      <c r="AN186" s="59">
        <f ca="1">AVERAGE(OFFSET($AM$3,0,0,'Données projet'!$E$10+1,1))-AVERAGE(OFFSET($H$3,0,0,'Données projet'!$E$10+1,1))</f>
        <v>318.97291652986593</v>
      </c>
      <c r="AO186" s="59">
        <f t="shared" si="144"/>
        <v>338.19413170988122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1.4183836750893983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3.7771729301159765E-22</v>
      </c>
      <c r="AX186" s="21">
        <f t="shared" si="166"/>
        <v>1.4183836750893983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2.0572770154103635E-13</v>
      </c>
      <c r="BF186" s="13">
        <f t="shared" si="167"/>
        <v>2.8416956338469711E-12</v>
      </c>
      <c r="BG186" s="20">
        <f t="shared" si="168"/>
        <v>5.3075956424674458E-12</v>
      </c>
      <c r="BH186" s="59">
        <f t="shared" si="116"/>
        <v>293.3333333333386</v>
      </c>
      <c r="BI186" s="59">
        <f ca="1">AVERAGE(OFFSET($BH$3,0,0,'Données projet'!$E$11+1,1))-AVERAGE(OFFSET($H$3,0,0,'Données projet'!$E$11+1,1))</f>
        <v>436.23918637269577</v>
      </c>
      <c r="BJ186" s="59">
        <f t="shared" si="146"/>
        <v>611.43967996341894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0.72479598457950689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0.72479598457950689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-1.915395841933787E-13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507.79096804746297</v>
      </c>
      <c r="CE186" s="59">
        <f t="shared" si="148"/>
        <v>312.67921212138998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92.48561839966834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92.48561839966834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318.97291652986593</v>
      </c>
      <c r="T187" s="59">
        <f t="shared" si="142"/>
        <v>338.19413170988122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9">
        <f t="shared" si="113"/>
        <v>293.33333333334014</v>
      </c>
      <c r="AN187" s="59">
        <f ca="1">AVERAGE(OFFSET($AM$3,0,0,'Données projet'!$E$10+1,1))-AVERAGE(OFFSET($H$3,0,0,'Données projet'!$E$10+1,1))</f>
        <v>318.97291652986593</v>
      </c>
      <c r="AO187" s="59">
        <f t="shared" si="144"/>
        <v>338.19413170988122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1.3905700363495126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2.6708645925992683E-22</v>
      </c>
      <c r="AX187" s="21">
        <f t="shared" si="166"/>
        <v>1.3905700363495126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2.0572770154103635E-13</v>
      </c>
      <c r="BF187" s="13">
        <f t="shared" si="167"/>
        <v>2.8416956338469711E-12</v>
      </c>
      <c r="BG187" s="20">
        <f t="shared" si="168"/>
        <v>5.3075956424674458E-12</v>
      </c>
      <c r="BH187" s="59">
        <f t="shared" si="116"/>
        <v>293.3333333333386</v>
      </c>
      <c r="BI187" s="59">
        <f ca="1">AVERAGE(OFFSET($BH$3,0,0,'Données projet'!$E$11+1,1))-AVERAGE(OFFSET($H$3,0,0,'Données projet'!$E$11+1,1))</f>
        <v>436.23918637269577</v>
      </c>
      <c r="BJ187" s="59">
        <f t="shared" si="146"/>
        <v>611.43967996341894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0.71058317740380139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0.71058317740380139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-1.915395841933787E-13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507.79096804746297</v>
      </c>
      <c r="CE187" s="59">
        <f t="shared" si="148"/>
        <v>312.67921212138998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90.672031833507972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90.672031833507972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318.97291652986593</v>
      </c>
      <c r="T188" s="59">
        <f t="shared" si="142"/>
        <v>338.19413170988122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9">
        <f t="shared" si="113"/>
        <v>293.33333333334014</v>
      </c>
      <c r="AN188" s="59">
        <f ca="1">AVERAGE(OFFSET($AM$3,0,0,'Données projet'!$E$10+1,1))-AVERAGE(OFFSET($H$3,0,0,'Données projet'!$E$10+1,1))</f>
        <v>318.97291652986593</v>
      </c>
      <c r="AO188" s="59">
        <f t="shared" si="144"/>
        <v>338.19413170988122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1.3633018061006716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1.8885864650579882E-22</v>
      </c>
      <c r="AX188" s="21">
        <f t="shared" si="166"/>
        <v>1.3633018061006716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2.0572770154103635E-13</v>
      </c>
      <c r="BF188" s="13">
        <f t="shared" si="167"/>
        <v>2.8416956338469711E-12</v>
      </c>
      <c r="BG188" s="20">
        <f t="shared" si="168"/>
        <v>5.3075956424674458E-12</v>
      </c>
      <c r="BH188" s="59">
        <f t="shared" si="116"/>
        <v>293.3333333333386</v>
      </c>
      <c r="BI188" s="59">
        <f ca="1">AVERAGE(OFFSET($BH$3,0,0,'Données projet'!$E$11+1,1))-AVERAGE(OFFSET($H$3,0,0,'Données projet'!$E$11+1,1))</f>
        <v>436.23918637269577</v>
      </c>
      <c r="BJ188" s="59">
        <f t="shared" si="146"/>
        <v>611.43967996341894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0.69664907470785509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0.69664907470785509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-1.915395841933787E-13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507.79096804746297</v>
      </c>
      <c r="CE188" s="59">
        <f t="shared" si="148"/>
        <v>312.67921212138998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88.894008593731442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88.894008593731442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318.97291652986593</v>
      </c>
      <c r="T189" s="59">
        <f t="shared" si="142"/>
        <v>338.19413170988122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9">
        <f t="shared" si="113"/>
        <v>293.33333333334014</v>
      </c>
      <c r="AN189" s="59">
        <f ca="1">AVERAGE(OFFSET($AM$3,0,0,'Données projet'!$E$10+1,1))-AVERAGE(OFFSET($H$3,0,0,'Données projet'!$E$10+1,1))</f>
        <v>318.97291652986593</v>
      </c>
      <c r="AO189" s="59">
        <f t="shared" si="144"/>
        <v>338.19413170988122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1.3365682892150321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1.3354322962996341E-22</v>
      </c>
      <c r="AX189" s="21">
        <f t="shared" si="166"/>
        <v>1.3365682892150321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2.0572770154103635E-13</v>
      </c>
      <c r="BF189" s="13">
        <f t="shared" si="167"/>
        <v>2.8416956338469711E-12</v>
      </c>
      <c r="BG189" s="20">
        <f t="shared" si="168"/>
        <v>5.3075956424674458E-12</v>
      </c>
      <c r="BH189" s="59">
        <f t="shared" si="116"/>
        <v>293.3333333333386</v>
      </c>
      <c r="BI189" s="59">
        <f ca="1">AVERAGE(OFFSET($BH$3,0,0,'Données projet'!$E$11+1,1))-AVERAGE(OFFSET($H$3,0,0,'Données projet'!$E$11+1,1))</f>
        <v>436.23918637269577</v>
      </c>
      <c r="BJ189" s="59">
        <f t="shared" si="146"/>
        <v>611.43967996341894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0.68298821126681286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0.68298821126681286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-1.915395841933787E-13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507.79096804746297</v>
      </c>
      <c r="CE189" s="59">
        <f t="shared" si="148"/>
        <v>312.67921212138998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87.150851305199836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87.150851305199836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318.97291652986593</v>
      </c>
      <c r="T190" s="59">
        <f t="shared" si="142"/>
        <v>338.19413170988122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9">
        <f t="shared" si="113"/>
        <v>293.33333333334014</v>
      </c>
      <c r="AN190" s="59">
        <f ca="1">AVERAGE(OFFSET($AM$3,0,0,'Données projet'!$E$10+1,1))-AVERAGE(OFFSET($H$3,0,0,'Données projet'!$E$10+1,1))</f>
        <v>318.97291652986593</v>
      </c>
      <c r="AO190" s="59">
        <f t="shared" si="144"/>
        <v>338.19413170988122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1.3103590002896848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9.4429323252899412E-23</v>
      </c>
      <c r="AX190" s="21">
        <f t="shared" si="166"/>
        <v>1.3103590002896848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2.0572770154103635E-13</v>
      </c>
      <c r="BF190" s="13">
        <f t="shared" si="167"/>
        <v>2.8416956338469711E-12</v>
      </c>
      <c r="BG190" s="20">
        <f t="shared" si="168"/>
        <v>5.3075956424674458E-12</v>
      </c>
      <c r="BH190" s="59">
        <f t="shared" si="116"/>
        <v>293.3333333333386</v>
      </c>
      <c r="BI190" s="59">
        <f ca="1">AVERAGE(OFFSET($BH$3,0,0,'Données projet'!$E$11+1,1))-AVERAGE(OFFSET($H$3,0,0,'Données projet'!$E$11+1,1))</f>
        <v>436.23918637269577</v>
      </c>
      <c r="BJ190" s="59">
        <f t="shared" si="146"/>
        <v>611.43967996341894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0.66959522902554547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0.66959522902554547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-1.915395841933787E-13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507.79096804746297</v>
      </c>
      <c r="CE190" s="59">
        <f t="shared" si="148"/>
        <v>312.67921212138998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85.441876267875372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85.441876267875372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318.97291652986593</v>
      </c>
      <c r="T191" s="59">
        <f t="shared" si="142"/>
        <v>338.19413170988122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9">
        <f t="shared" si="113"/>
        <v>293.33333333334014</v>
      </c>
      <c r="AN191" s="59">
        <f ca="1">AVERAGE(OFFSET($AM$3,0,0,'Données projet'!$E$10+1,1))-AVERAGE(OFFSET($H$3,0,0,'Données projet'!$E$10+1,1))</f>
        <v>318.97291652986593</v>
      </c>
      <c r="AO191" s="59">
        <f t="shared" si="144"/>
        <v>338.19413170988122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1.2846636595340759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6.6771614814981707E-23</v>
      </c>
      <c r="AX191" s="21">
        <f t="shared" si="166"/>
        <v>1.2846636595340759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2.0572770154103635E-13</v>
      </c>
      <c r="BF191" s="13">
        <f t="shared" si="167"/>
        <v>2.8416956338469711E-12</v>
      </c>
      <c r="BG191" s="20">
        <f t="shared" si="168"/>
        <v>5.3075956424674458E-12</v>
      </c>
      <c r="BH191" s="59">
        <f t="shared" si="116"/>
        <v>293.3333333333386</v>
      </c>
      <c r="BI191" s="59">
        <f ca="1">AVERAGE(OFFSET($BH$3,0,0,'Données projet'!$E$11+1,1))-AVERAGE(OFFSET($H$3,0,0,'Données projet'!$E$11+1,1))</f>
        <v>436.23918637269577</v>
      </c>
      <c r="BJ191" s="59">
        <f t="shared" si="146"/>
        <v>611.43967996341894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0.65646487499711681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0.65646487499711681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-1.915395841933787E-13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507.79096804746297</v>
      </c>
      <c r="CE191" s="59">
        <f t="shared" si="148"/>
        <v>312.67921212138998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83.766413188660991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83.766413188660991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318.97291652986593</v>
      </c>
      <c r="T192" s="59">
        <f t="shared" si="142"/>
        <v>338.19413170988122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9">
        <f t="shared" si="113"/>
        <v>293.33333333334014</v>
      </c>
      <c r="AN192" s="59">
        <f ca="1">AVERAGE(OFFSET($AM$3,0,0,'Données projet'!$E$10+1,1))-AVERAGE(OFFSET($H$3,0,0,'Données projet'!$E$10+1,1))</f>
        <v>318.97291652986593</v>
      </c>
      <c r="AO192" s="59">
        <f t="shared" si="144"/>
        <v>338.19413170988122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1.2594721887380742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4.7214661626449706E-23</v>
      </c>
      <c r="AX192" s="21">
        <f t="shared" si="166"/>
        <v>1.2594721887380742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2.0572770154103635E-13</v>
      </c>
      <c r="BF192" s="13">
        <f t="shared" si="167"/>
        <v>2.8416956338469711E-12</v>
      </c>
      <c r="BG192" s="20">
        <f t="shared" si="168"/>
        <v>5.3075956424674458E-12</v>
      </c>
      <c r="BH192" s="59">
        <f t="shared" si="116"/>
        <v>293.3333333333386</v>
      </c>
      <c r="BI192" s="59">
        <f ca="1">AVERAGE(OFFSET($BH$3,0,0,'Données projet'!$E$11+1,1))-AVERAGE(OFFSET($H$3,0,0,'Données projet'!$E$11+1,1))</f>
        <v>436.23918637269577</v>
      </c>
      <c r="BJ192" s="59">
        <f t="shared" si="146"/>
        <v>611.43967996341894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0.64359199920246046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0.64359199920246046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-1.915395841933787E-13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507.79096804746297</v>
      </c>
      <c r="CE192" s="59">
        <f t="shared" si="148"/>
        <v>312.67921212138998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82.123804918498436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82.123804918498436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318.97291652986593</v>
      </c>
      <c r="T193" s="59">
        <f t="shared" si="142"/>
        <v>338.19413170988122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9">
        <f t="shared" si="113"/>
        <v>293.33333333334014</v>
      </c>
      <c r="AN193" s="59">
        <f ca="1">AVERAGE(OFFSET($AM$3,0,0,'Données projet'!$E$10+1,1))-AVERAGE(OFFSET($H$3,0,0,'Données projet'!$E$10+1,1))</f>
        <v>318.97291652986593</v>
      </c>
      <c r="AO193" s="59">
        <f t="shared" si="144"/>
        <v>338.19413170988122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1.234774707319102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3.3385807407490854E-23</v>
      </c>
      <c r="AX193" s="21">
        <f t="shared" si="166"/>
        <v>1.234774707319102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2.0572770154103635E-13</v>
      </c>
      <c r="BF193" s="13">
        <f t="shared" si="167"/>
        <v>2.8416956338469711E-12</v>
      </c>
      <c r="BG193" s="20">
        <f t="shared" si="168"/>
        <v>5.3075956424674458E-12</v>
      </c>
      <c r="BH193" s="59">
        <f t="shared" si="116"/>
        <v>293.3333333333386</v>
      </c>
      <c r="BI193" s="59">
        <f ca="1">AVERAGE(OFFSET($BH$3,0,0,'Données projet'!$E$11+1,1))-AVERAGE(OFFSET($H$3,0,0,'Données projet'!$E$11+1,1))</f>
        <v>436.23918637269577</v>
      </c>
      <c r="BJ193" s="59">
        <f t="shared" si="146"/>
        <v>611.43967996341894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0.63097155265045846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0.63097155265045846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-1.915395841933787E-13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507.79096804746297</v>
      </c>
      <c r="CE193" s="59">
        <f t="shared" si="148"/>
        <v>312.67921212138998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80.513407194621649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80.513407194621649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318.97291652986593</v>
      </c>
      <c r="T194" s="59">
        <f t="shared" si="142"/>
        <v>338.19413170988122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9">
        <f t="shared" si="113"/>
        <v>293.33333333334014</v>
      </c>
      <c r="AN194" s="59">
        <f ca="1">AVERAGE(OFFSET($AM$3,0,0,'Données projet'!$E$10+1,1))-AVERAGE(OFFSET($H$3,0,0,'Données projet'!$E$10+1,1))</f>
        <v>318.97291652986593</v>
      </c>
      <c r="AO194" s="59">
        <f t="shared" si="144"/>
        <v>338.19413170988122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1.2105615284467797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2.3607330813224853E-23</v>
      </c>
      <c r="AX194" s="21">
        <f t="shared" si="166"/>
        <v>1.2105615284467797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2.0572770154103635E-13</v>
      </c>
      <c r="BF194" s="13">
        <f t="shared" si="167"/>
        <v>2.8416956338469711E-12</v>
      </c>
      <c r="BG194" s="20">
        <f t="shared" si="168"/>
        <v>5.3075956424674458E-12</v>
      </c>
      <c r="BH194" s="59">
        <f t="shared" si="116"/>
        <v>293.3333333333386</v>
      </c>
      <c r="BI194" s="59">
        <f ca="1">AVERAGE(OFFSET($BH$3,0,0,'Données projet'!$E$11+1,1))-AVERAGE(OFFSET($H$3,0,0,'Données projet'!$E$11+1,1))</f>
        <v>436.23918637269577</v>
      </c>
      <c r="BJ194" s="59">
        <f t="shared" si="146"/>
        <v>611.43967996341894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0.61859858535762879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0.61859858535762879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-1.915395841933787E-13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507.79096804746297</v>
      </c>
      <c r="CE194" s="59">
        <f t="shared" si="148"/>
        <v>312.67921212138998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78.934588387864466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78.934588387864466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318.97291652986593</v>
      </c>
      <c r="T195" s="59">
        <f t="shared" si="142"/>
        <v>338.19413170988122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9">
        <f t="shared" si="113"/>
        <v>293.33333333334014</v>
      </c>
      <c r="AN195" s="59">
        <f ca="1">AVERAGE(OFFSET($AM$3,0,0,'Données projet'!$E$10+1,1))-AVERAGE(OFFSET($H$3,0,0,'Données projet'!$E$10+1,1))</f>
        <v>318.97291652986593</v>
      </c>
      <c r="AO195" s="59">
        <f t="shared" si="144"/>
        <v>338.19413170988122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1.1868231552435626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1.6692903703745427E-23</v>
      </c>
      <c r="AX195" s="21">
        <f t="shared" si="166"/>
        <v>1.1868231552435626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2.0572770154103635E-13</v>
      </c>
      <c r="BF195" s="13">
        <f t="shared" si="167"/>
        <v>2.8416956338469711E-12</v>
      </c>
      <c r="BG195" s="20">
        <f t="shared" si="168"/>
        <v>5.3075956424674458E-12</v>
      </c>
      <c r="BH195" s="59">
        <f t="shared" si="116"/>
        <v>293.3333333333386</v>
      </c>
      <c r="BI195" s="59">
        <f ca="1">AVERAGE(OFFSET($BH$3,0,0,'Données projet'!$E$11+1,1))-AVERAGE(OFFSET($H$3,0,0,'Données projet'!$E$11+1,1))</f>
        <v>436.23918637269577</v>
      </c>
      <c r="BJ195" s="59">
        <f t="shared" si="146"/>
        <v>611.43967996341894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0.60646824440664671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0.60646824440664671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-1.915395841933787E-13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507.79096804746297</v>
      </c>
      <c r="CE195" s="59">
        <f t="shared" si="148"/>
        <v>312.67921212138998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77.386729254923395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77.386729254923395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318.97291652986593</v>
      </c>
      <c r="T196" s="59">
        <f t="shared" si="142"/>
        <v>338.19413170988122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9">
        <f t="shared" ref="AM196:AM203" si="193">AL196+(AD196+AE196)*44/12</f>
        <v>293.33333333334014</v>
      </c>
      <c r="AN196" s="59">
        <f ca="1">AVERAGE(OFFSET($AM$3,0,0,'Données projet'!$E$10+1,1))-AVERAGE(OFFSET($H$3,0,0,'Données projet'!$E$10+1,1))</f>
        <v>318.97291652986593</v>
      </c>
      <c r="AO196" s="59">
        <f t="shared" si="144"/>
        <v>338.19413170988122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1.1635502770598829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1.1803665406612426E-23</v>
      </c>
      <c r="AX196" s="21">
        <f t="shared" si="166"/>
        <v>1.1635502770598829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2.0572770154103635E-13</v>
      </c>
      <c r="BF196" s="13">
        <f t="shared" si="167"/>
        <v>2.8416956338469711E-12</v>
      </c>
      <c r="BG196" s="20">
        <f t="shared" si="168"/>
        <v>5.3075956424674458E-12</v>
      </c>
      <c r="BH196" s="59">
        <f t="shared" ref="BH196:BH203" si="194">BG196+(AY196+AZ196)*44/12</f>
        <v>293.3333333333386</v>
      </c>
      <c r="BI196" s="59">
        <f ca="1">AVERAGE(OFFSET($BH$3,0,0,'Données projet'!$E$11+1,1))-AVERAGE(OFFSET($H$3,0,0,'Données projet'!$E$11+1,1))</f>
        <v>436.23918637269577</v>
      </c>
      <c r="BJ196" s="59">
        <f t="shared" si="146"/>
        <v>611.43967996341894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0.59457577204293599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0.59457577204293599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-1.915395841933787E-13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507.79096804746297</v>
      </c>
      <c r="CE196" s="59">
        <f t="shared" si="148"/>
        <v>312.67921212138998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75.869222695478456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75.869222695478456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318.97291652986593</v>
      </c>
      <c r="T197" s="59">
        <f t="shared" ref="T197:T203" si="204">$T$3</f>
        <v>338.19413170988122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9">
        <f t="shared" si="193"/>
        <v>293.33333333334014</v>
      </c>
      <c r="AN197" s="59">
        <f ca="1">AVERAGE(OFFSET($AM$3,0,0,'Données projet'!$E$10+1,1))-AVERAGE(OFFSET($H$3,0,0,'Données projet'!$E$10+1,1))</f>
        <v>318.97291652986593</v>
      </c>
      <c r="AO197" s="59">
        <f t="shared" ref="AO197:AO203" si="205">$AO$3</f>
        <v>338.19413170988122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1.1407337658223309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8.3464518518727134E-24</v>
      </c>
      <c r="AX197" s="21">
        <f t="shared" si="166"/>
        <v>1.1407337658223309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2.0572770154103635E-13</v>
      </c>
      <c r="BF197" s="13">
        <f t="shared" si="167"/>
        <v>2.8416956338469711E-12</v>
      </c>
      <c r="BG197" s="20">
        <f t="shared" si="168"/>
        <v>5.3075956424674458E-12</v>
      </c>
      <c r="BH197" s="59">
        <f t="shared" si="194"/>
        <v>293.3333333333386</v>
      </c>
      <c r="BI197" s="59">
        <f ca="1">AVERAGE(OFFSET($BH$3,0,0,'Données projet'!$E$11+1,1))-AVERAGE(OFFSET($H$3,0,0,'Données projet'!$E$11+1,1))</f>
        <v>436.23918637269577</v>
      </c>
      <c r="BJ197" s="59">
        <f t="shared" ref="BJ197:BJ203" si="206">$BJ$3</f>
        <v>611.43967996341894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0.58291650380858573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0.58291650380858573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-1.915395841933787E-13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507.79096804746297</v>
      </c>
      <c r="CE197" s="59">
        <f t="shared" ref="CE197:CE203" si="207">$CE$3</f>
        <v>312.67921212138998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74.381473514076632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74.381473514076632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318.97291652986593</v>
      </c>
      <c r="T198" s="59">
        <f t="shared" si="204"/>
        <v>338.19413170988122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9">
        <f t="shared" si="193"/>
        <v>293.33333333334014</v>
      </c>
      <c r="AN198" s="59">
        <f ca="1">AVERAGE(OFFSET($AM$3,0,0,'Données projet'!$E$10+1,1))-AVERAGE(OFFSET($H$3,0,0,'Données projet'!$E$10+1,1))</f>
        <v>318.97291652986593</v>
      </c>
      <c r="AO198" s="59">
        <f t="shared" si="205"/>
        <v>338.19413170988122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1.1183646724534497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5.9018327033062132E-24</v>
      </c>
      <c r="AX198" s="21">
        <f t="shared" si="166"/>
        <v>1.1183646724534497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2.0572770154103635E-13</v>
      </c>
      <c r="BF198" s="13">
        <f t="shared" si="167"/>
        <v>2.8416956338469711E-12</v>
      </c>
      <c r="BG198" s="20">
        <f t="shared" si="168"/>
        <v>5.3075956424674458E-12</v>
      </c>
      <c r="BH198" s="59">
        <f t="shared" si="194"/>
        <v>293.3333333333386</v>
      </c>
      <c r="BI198" s="59">
        <f ca="1">AVERAGE(OFFSET($BH$3,0,0,'Données projet'!$E$11+1,1))-AVERAGE(OFFSET($H$3,0,0,'Données projet'!$E$11+1,1))</f>
        <v>436.23918637269577</v>
      </c>
      <c r="BJ198" s="59">
        <f t="shared" si="206"/>
        <v>611.43967996341894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0.57148586671285961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0.57148586671285961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-1.915395841933787E-13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507.79096804746297</v>
      </c>
      <c r="CE198" s="59">
        <f t="shared" si="207"/>
        <v>312.67921212138998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72.922898186684691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72.922898186684691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318.97291652986593</v>
      </c>
      <c r="T199" s="59">
        <f t="shared" si="204"/>
        <v>338.19413170988122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9">
        <f t="shared" si="193"/>
        <v>293.33333333334014</v>
      </c>
      <c r="AN199" s="59">
        <f ca="1">AVERAGE(OFFSET($AM$3,0,0,'Données projet'!$E$10+1,1))-AVERAGE(OFFSET($H$3,0,0,'Données projet'!$E$10+1,1))</f>
        <v>318.97291652986593</v>
      </c>
      <c r="AO199" s="59">
        <f t="shared" si="205"/>
        <v>338.19413170988122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1.0964342233617326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4.1732259259363567E-24</v>
      </c>
      <c r="AX199" s="21">
        <f t="shared" si="166"/>
        <v>1.0964342233617326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2.0572770154103635E-13</v>
      </c>
      <c r="BF199" s="13">
        <f t="shared" si="167"/>
        <v>2.8416956338469711E-12</v>
      </c>
      <c r="BG199" s="20">
        <f t="shared" si="168"/>
        <v>5.3075956424674458E-12</v>
      </c>
      <c r="BH199" s="59">
        <f t="shared" si="194"/>
        <v>293.3333333333386</v>
      </c>
      <c r="BI199" s="59">
        <f ca="1">AVERAGE(OFFSET($BH$3,0,0,'Données projet'!$E$11+1,1))-AVERAGE(OFFSET($H$3,0,0,'Données projet'!$E$11+1,1))</f>
        <v>436.23918637269577</v>
      </c>
      <c r="BJ199" s="59">
        <f t="shared" si="206"/>
        <v>611.43967996341894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0.56027937743858047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0.56027937743858047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-1.915395841933787E-13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507.79096804746297</v>
      </c>
      <c r="CE199" s="59">
        <f t="shared" si="207"/>
        <v>312.67921212138998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71.492924631819804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71.492924631819804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318.97291652986593</v>
      </c>
      <c r="T200" s="59">
        <f t="shared" si="204"/>
        <v>338.19413170988122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9">
        <f t="shared" si="193"/>
        <v>293.33333333334014</v>
      </c>
      <c r="AN200" s="59">
        <f ca="1">AVERAGE(OFFSET($AM$3,0,0,'Données projet'!$E$10+1,1))-AVERAGE(OFFSET($H$3,0,0,'Données projet'!$E$10+1,1))</f>
        <v>318.97291652986593</v>
      </c>
      <c r="AO200" s="59">
        <f t="shared" si="205"/>
        <v>338.19413170988122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1.0749338170004508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2.9509163516531066E-24</v>
      </c>
      <c r="AX200" s="21">
        <f t="shared" si="166"/>
        <v>1.0749338170004508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2.0572770154103635E-13</v>
      </c>
      <c r="BF200" s="13">
        <f t="shared" si="167"/>
        <v>2.8416956338469711E-12</v>
      </c>
      <c r="BG200" s="20">
        <f t="shared" si="168"/>
        <v>5.3075956424674458E-12</v>
      </c>
      <c r="BH200" s="59">
        <f t="shared" si="194"/>
        <v>293.3333333333386</v>
      </c>
      <c r="BI200" s="59">
        <f ca="1">AVERAGE(OFFSET($BH$3,0,0,'Données projet'!$E$11+1,1))-AVERAGE(OFFSET($H$3,0,0,'Données projet'!$E$11+1,1))</f>
        <v>436.23918637269577</v>
      </c>
      <c r="BJ200" s="59">
        <f t="shared" si="206"/>
        <v>611.43967996341894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0.54929264058368643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0.54929264058368643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-1.915395841933787E-13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507.79096804746297</v>
      </c>
      <c r="CE200" s="59">
        <f t="shared" si="207"/>
        <v>312.67921212138998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70.090991986168078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70.090991986168078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318.97291652986593</v>
      </c>
      <c r="T201" s="59">
        <f t="shared" si="204"/>
        <v>338.19413170988122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9">
        <f t="shared" si="193"/>
        <v>293.33333333334014</v>
      </c>
      <c r="AN201" s="59">
        <f ca="1">AVERAGE(OFFSET($AM$3,0,0,'Données projet'!$E$10+1,1))-AVERAGE(OFFSET($H$3,0,0,'Données projet'!$E$10+1,1))</f>
        <v>318.97291652986593</v>
      </c>
      <c r="AO201" s="59">
        <f t="shared" si="205"/>
        <v>338.19413170988122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1.0538550204939607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2.0866129629681784E-24</v>
      </c>
      <c r="AX201" s="21">
        <f t="shared" si="166"/>
        <v>1.0538550204939607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2.0572770154103635E-13</v>
      </c>
      <c r="BF201" s="13">
        <f t="shared" si="167"/>
        <v>2.8416956338469711E-12</v>
      </c>
      <c r="BG201" s="20">
        <f t="shared" si="168"/>
        <v>5.3075956424674458E-12</v>
      </c>
      <c r="BH201" s="59">
        <f t="shared" si="194"/>
        <v>293.3333333333386</v>
      </c>
      <c r="BI201" s="59">
        <f ca="1">AVERAGE(OFFSET($BH$3,0,0,'Données projet'!$E$11+1,1))-AVERAGE(OFFSET($H$3,0,0,'Données projet'!$E$11+1,1))</f>
        <v>436.23918637269577</v>
      </c>
      <c r="BJ201" s="59">
        <f t="shared" si="206"/>
        <v>611.43967996341894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0.53852134693726905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0.53852134693726905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-1.915395841933787E-13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507.79096804746297</v>
      </c>
      <c r="CE201" s="59">
        <f t="shared" si="207"/>
        <v>312.67921212138998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68.716550384603096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68.716550384603096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318.97291652986593</v>
      </c>
      <c r="T202" s="59">
        <f t="shared" si="204"/>
        <v>338.19413170988122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9">
        <f t="shared" si="193"/>
        <v>293.33333333334014</v>
      </c>
      <c r="AN202" s="59">
        <f ca="1">AVERAGE(OFFSET($AM$3,0,0,'Données projet'!$E$10+1,1))-AVERAGE(OFFSET($H$3,0,0,'Données projet'!$E$10+1,1))</f>
        <v>318.97291652986593</v>
      </c>
      <c r="AO202" s="59">
        <f t="shared" si="205"/>
        <v>338.19413170988122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1.0331895663301667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1.4754581758265533E-24</v>
      </c>
      <c r="AX202" s="21">
        <f t="shared" si="166"/>
        <v>1.0331895663301667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2.0572770154103635E-13</v>
      </c>
      <c r="BF202" s="13">
        <f t="shared" si="167"/>
        <v>2.8416956338469711E-12</v>
      </c>
      <c r="BG202" s="20">
        <f t="shared" si="168"/>
        <v>5.3075956424674458E-12</v>
      </c>
      <c r="BH202" s="59">
        <f t="shared" si="194"/>
        <v>293.3333333333386</v>
      </c>
      <c r="BI202" s="59">
        <f ca="1">AVERAGE(OFFSET($BH$3,0,0,'Données projet'!$E$11+1,1))-AVERAGE(OFFSET($H$3,0,0,'Données projet'!$E$11+1,1))</f>
        <v>436.23918637269577</v>
      </c>
      <c r="BJ202" s="59">
        <f t="shared" si="206"/>
        <v>611.43967996341894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0.52796127178941754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0.52796127178941754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-1.915395841933787E-13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507.79096804746297</v>
      </c>
      <c r="CE202" s="59">
        <f t="shared" si="207"/>
        <v>312.67921212138998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67.369060744518208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67.369060744518208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318.97291652986593</v>
      </c>
      <c r="T203" s="59">
        <f t="shared" si="204"/>
        <v>338.19413170988122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9">
        <f t="shared" si="193"/>
        <v>293.33333333334014</v>
      </c>
      <c r="AN203" s="59">
        <f ca="1">AVERAGE(OFFSET($AM$3,0,0,'Données projet'!$E$10+1,1))-AVERAGE(OFFSET($H$3,0,0,'Données projet'!$E$10+1,1))</f>
        <v>318.97291652986593</v>
      </c>
      <c r="AO203" s="59">
        <f t="shared" si="205"/>
        <v>338.19413170988122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1.0129293491178422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1.0433064814840892E-24</v>
      </c>
      <c r="AX203" s="21">
        <f t="shared" si="166"/>
        <v>1.0129293491178422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2.0572770154103635E-13</v>
      </c>
      <c r="BF203" s="13">
        <f t="shared" si="167"/>
        <v>2.8416956338469711E-12</v>
      </c>
      <c r="BG203" s="20">
        <f t="shared" si="168"/>
        <v>5.3075956424674458E-12</v>
      </c>
      <c r="BH203" s="59">
        <f t="shared" si="194"/>
        <v>293.3333333333386</v>
      </c>
      <c r="BI203" s="59">
        <f ca="1">AVERAGE(OFFSET($BH$3,0,0,'Données projet'!$E$11+1,1))-AVERAGE(OFFSET($H$3,0,0,'Données projet'!$E$11+1,1))</f>
        <v>436.23918637269577</v>
      </c>
      <c r="BJ203" s="59">
        <f t="shared" si="206"/>
        <v>611.43967996341894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0.51760827327420555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0.51760827327420555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-1.915395841933787E-13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507.79096804746297</v>
      </c>
      <c r="CE203" s="59">
        <f t="shared" si="207"/>
        <v>312.67921212138998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66.047994554387856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66.047994554387856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1.3763223570336161</v>
      </c>
      <c r="BA205" s="82">
        <f>EXP(LN('Données projet'!B88)/'Données projet'!A88)</f>
        <v>2.1016324782757847</v>
      </c>
      <c r="BV205" s="82">
        <f>EXP(LN('Données projet'!B114)/'Données projet'!A114)</f>
        <v>1.2392705892426346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 x14ac:dyDescent="0.3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1" t="s">
        <v>114</v>
      </c>
      <c r="P2" s="121">
        <v>0</v>
      </c>
    </row>
    <row r="3" spans="1:16" ht="15" thickBot="1" x14ac:dyDescent="0.35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1" t="s">
        <v>121</v>
      </c>
      <c r="P5" s="121">
        <v>0</v>
      </c>
    </row>
    <row r="6" spans="1:16" x14ac:dyDescent="0.3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1" t="s">
        <v>133</v>
      </c>
      <c r="P10" s="121">
        <v>0</v>
      </c>
    </row>
    <row r="11" spans="1:16" ht="15" thickBot="1" x14ac:dyDescent="0.35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23</v>
      </c>
      <c r="B14" s="123" t="s">
        <v>141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142</v>
      </c>
      <c r="B15" s="123" t="s">
        <v>143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144</v>
      </c>
      <c r="B16" s="123" t="s">
        <v>145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146</v>
      </c>
      <c r="B17" s="123" t="s">
        <v>147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148</v>
      </c>
      <c r="B18" s="123" t="s">
        <v>149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150</v>
      </c>
      <c r="B19" s="123" t="s">
        <v>151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112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156</v>
      </c>
      <c r="B21" s="123" t="s">
        <v>157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158</v>
      </c>
      <c r="B22" s="123" t="s">
        <v>159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160</v>
      </c>
      <c r="B23" s="123" t="s">
        <v>161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162</v>
      </c>
      <c r="B24" s="123" t="s">
        <v>163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164</v>
      </c>
      <c r="B25" s="123" t="s">
        <v>165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166</v>
      </c>
      <c r="B26" s="123" t="s">
        <v>167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169</v>
      </c>
      <c r="B27" s="123" t="s">
        <v>170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171</v>
      </c>
      <c r="B28" s="123" t="s">
        <v>172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173</v>
      </c>
      <c r="B29" s="123" t="s">
        <v>173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174</v>
      </c>
      <c r="B30" s="123" t="s">
        <v>175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176</v>
      </c>
      <c r="B31" s="123" t="s">
        <v>177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178</v>
      </c>
      <c r="B32" s="123" t="s">
        <v>179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180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181</v>
      </c>
      <c r="B33" s="123" t="s">
        <v>182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180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183</v>
      </c>
      <c r="B34" s="123" t="s">
        <v>184</v>
      </c>
      <c r="C34" s="124">
        <v>0.42</v>
      </c>
      <c r="D34" s="124" t="s">
        <v>185</v>
      </c>
      <c r="E34" s="124">
        <v>1.3</v>
      </c>
      <c r="F34" s="125" t="s">
        <v>112</v>
      </c>
      <c r="G34" s="126">
        <v>0.6</v>
      </c>
      <c r="H34" s="123" t="s">
        <v>186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187</v>
      </c>
      <c r="B35" s="123" t="s">
        <v>188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189</v>
      </c>
      <c r="B36" s="123" t="s">
        <v>190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191</v>
      </c>
      <c r="B37" s="123" t="s">
        <v>192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193</v>
      </c>
      <c r="B38" s="123" t="s">
        <v>194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195</v>
      </c>
      <c r="B39" s="123" t="s">
        <v>196</v>
      </c>
      <c r="C39" s="124">
        <v>0.313</v>
      </c>
      <c r="D39" s="124" t="s">
        <v>197</v>
      </c>
      <c r="E39" s="124">
        <v>1.56</v>
      </c>
      <c r="F39" s="125" t="s">
        <v>112</v>
      </c>
      <c r="G39" s="126">
        <v>0.6</v>
      </c>
      <c r="H39" s="124" t="s">
        <v>198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199</v>
      </c>
      <c r="B40" s="123" t="s">
        <v>196</v>
      </c>
      <c r="C40" s="124">
        <v>0.35199999999999998</v>
      </c>
      <c r="D40" s="124" t="s">
        <v>197</v>
      </c>
      <c r="E40" s="124">
        <v>1.56</v>
      </c>
      <c r="F40" s="125" t="s">
        <v>112</v>
      </c>
      <c r="G40" s="126">
        <v>0.6</v>
      </c>
      <c r="H40" s="124" t="s">
        <v>198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200</v>
      </c>
      <c r="B41" s="123" t="s">
        <v>196</v>
      </c>
      <c r="C41" s="124">
        <v>0.32200000000000001</v>
      </c>
      <c r="D41" s="124" t="s">
        <v>197</v>
      </c>
      <c r="E41" s="124">
        <v>1.56</v>
      </c>
      <c r="F41" s="125" t="s">
        <v>112</v>
      </c>
      <c r="G41" s="126">
        <v>0.6</v>
      </c>
      <c r="H41" s="124" t="s">
        <v>198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201</v>
      </c>
      <c r="B42" s="123" t="s">
        <v>196</v>
      </c>
      <c r="C42" s="124">
        <v>0.311</v>
      </c>
      <c r="D42" s="124" t="s">
        <v>197</v>
      </c>
      <c r="E42" s="124">
        <v>1.56</v>
      </c>
      <c r="F42" s="125" t="s">
        <v>112</v>
      </c>
      <c r="G42" s="126">
        <v>0.6</v>
      </c>
      <c r="H42" s="124" t="s">
        <v>198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202</v>
      </c>
      <c r="B43" s="123" t="s">
        <v>196</v>
      </c>
      <c r="C43" s="124">
        <v>0.33900000000000002</v>
      </c>
      <c r="D43" s="124" t="s">
        <v>197</v>
      </c>
      <c r="E43" s="124">
        <v>1.56</v>
      </c>
      <c r="F43" s="125" t="s">
        <v>112</v>
      </c>
      <c r="G43" s="126">
        <v>0.6</v>
      </c>
      <c r="H43" s="124" t="s">
        <v>198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203</v>
      </c>
      <c r="B44" s="123" t="s">
        <v>196</v>
      </c>
      <c r="C44" s="124">
        <v>0.33600000000000002</v>
      </c>
      <c r="D44" s="124" t="s">
        <v>197</v>
      </c>
      <c r="E44" s="124">
        <v>1.56</v>
      </c>
      <c r="F44" s="125" t="s">
        <v>112</v>
      </c>
      <c r="G44" s="126">
        <v>0.6</v>
      </c>
      <c r="H44" s="124" t="s">
        <v>198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204</v>
      </c>
      <c r="B45" s="123" t="s">
        <v>196</v>
      </c>
      <c r="C45" s="124">
        <v>0.32900000000000001</v>
      </c>
      <c r="D45" s="124" t="s">
        <v>197</v>
      </c>
      <c r="E45" s="124">
        <v>1.56</v>
      </c>
      <c r="F45" s="125" t="s">
        <v>112</v>
      </c>
      <c r="G45" s="126">
        <v>0.6</v>
      </c>
      <c r="H45" s="124" t="s">
        <v>198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205</v>
      </c>
      <c r="B46" s="123" t="s">
        <v>196</v>
      </c>
      <c r="C46" s="124">
        <v>0.34300000000000003</v>
      </c>
      <c r="D46" s="124" t="s">
        <v>197</v>
      </c>
      <c r="E46" s="124">
        <v>1.56</v>
      </c>
      <c r="F46" s="125" t="s">
        <v>112</v>
      </c>
      <c r="G46" s="126">
        <v>0.6</v>
      </c>
      <c r="H46" s="124" t="s">
        <v>198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206</v>
      </c>
      <c r="B47" s="123" t="s">
        <v>196</v>
      </c>
      <c r="C47" s="124">
        <v>0.32500000000000001</v>
      </c>
      <c r="D47" s="124" t="s">
        <v>197</v>
      </c>
      <c r="E47" s="124">
        <v>1.56</v>
      </c>
      <c r="F47" s="125" t="s">
        <v>112</v>
      </c>
      <c r="G47" s="126">
        <v>0.6</v>
      </c>
      <c r="H47" s="124" t="s">
        <v>198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207</v>
      </c>
      <c r="B48" s="123" t="s">
        <v>196</v>
      </c>
      <c r="C48" s="124">
        <v>0.32</v>
      </c>
      <c r="D48" s="124" t="s">
        <v>197</v>
      </c>
      <c r="E48" s="124">
        <v>1.56</v>
      </c>
      <c r="F48" s="125" t="s">
        <v>112</v>
      </c>
      <c r="G48" s="126">
        <v>0.6</v>
      </c>
      <c r="H48" s="124" t="s">
        <v>198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208</v>
      </c>
      <c r="B49" s="123" t="s">
        <v>196</v>
      </c>
      <c r="C49" s="124">
        <v>0.28199999999999997</v>
      </c>
      <c r="D49" s="124" t="s">
        <v>197</v>
      </c>
      <c r="E49" s="124">
        <v>1.56</v>
      </c>
      <c r="F49" s="125" t="s">
        <v>112</v>
      </c>
      <c r="G49" s="126">
        <v>0.6</v>
      </c>
      <c r="H49" s="124" t="s">
        <v>198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209</v>
      </c>
      <c r="B50" s="123" t="s">
        <v>196</v>
      </c>
      <c r="C50" s="124">
        <v>0.32800000000000001</v>
      </c>
      <c r="D50" s="124" t="s">
        <v>197</v>
      </c>
      <c r="E50" s="124">
        <v>1.56</v>
      </c>
      <c r="F50" s="125" t="s">
        <v>112</v>
      </c>
      <c r="G50" s="126">
        <v>0.6</v>
      </c>
      <c r="H50" s="124" t="s">
        <v>198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210</v>
      </c>
      <c r="B51" s="123" t="s">
        <v>196</v>
      </c>
      <c r="C51" s="124">
        <v>0.32600000000000001</v>
      </c>
      <c r="D51" s="124" t="s">
        <v>197</v>
      </c>
      <c r="E51" s="124">
        <v>1.56</v>
      </c>
      <c r="F51" s="125" t="s">
        <v>112</v>
      </c>
      <c r="G51" s="126">
        <v>0.6</v>
      </c>
      <c r="H51" s="124" t="s">
        <v>198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211</v>
      </c>
      <c r="B52" s="123" t="s">
        <v>196</v>
      </c>
      <c r="C52" s="124">
        <v>0.35899999999999999</v>
      </c>
      <c r="D52" s="124" t="s">
        <v>197</v>
      </c>
      <c r="E52" s="124">
        <v>1.56</v>
      </c>
      <c r="F52" s="125" t="s">
        <v>112</v>
      </c>
      <c r="G52" s="126">
        <v>0.6</v>
      </c>
      <c r="H52" s="124" t="s">
        <v>198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212</v>
      </c>
      <c r="B53" s="123" t="s">
        <v>196</v>
      </c>
      <c r="C53" s="124">
        <v>0.34599999999999997</v>
      </c>
      <c r="D53" s="124" t="s">
        <v>197</v>
      </c>
      <c r="E53" s="124">
        <v>1.56</v>
      </c>
      <c r="F53" s="125" t="s">
        <v>112</v>
      </c>
      <c r="G53" s="126">
        <v>0.6</v>
      </c>
      <c r="H53" s="124" t="s">
        <v>198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213</v>
      </c>
      <c r="B54" s="123" t="s">
        <v>196</v>
      </c>
      <c r="C54" s="124">
        <v>0.32600000000000001</v>
      </c>
      <c r="D54" s="124" t="s">
        <v>197</v>
      </c>
      <c r="E54" s="124">
        <v>1.56</v>
      </c>
      <c r="F54" s="125" t="s">
        <v>112</v>
      </c>
      <c r="G54" s="126">
        <v>0.6</v>
      </c>
      <c r="H54" s="124" t="s">
        <v>198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214</v>
      </c>
      <c r="B55" s="123" t="s">
        <v>196</v>
      </c>
      <c r="C55" s="124">
        <v>0.30499999999999999</v>
      </c>
      <c r="D55" s="124" t="s">
        <v>197</v>
      </c>
      <c r="E55" s="124">
        <v>1.56</v>
      </c>
      <c r="F55" s="125" t="s">
        <v>112</v>
      </c>
      <c r="G55" s="126">
        <v>0.6</v>
      </c>
      <c r="H55" s="124" t="s">
        <v>198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215</v>
      </c>
      <c r="B56" s="123" t="s">
        <v>196</v>
      </c>
      <c r="C56" s="124">
        <v>0.32300000000000001</v>
      </c>
      <c r="D56" s="124" t="s">
        <v>197</v>
      </c>
      <c r="E56" s="124">
        <v>1.56</v>
      </c>
      <c r="F56" s="125" t="s">
        <v>112</v>
      </c>
      <c r="G56" s="126">
        <v>0.6</v>
      </c>
      <c r="H56" s="124" t="s">
        <v>198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216</v>
      </c>
      <c r="B57" s="123" t="s">
        <v>196</v>
      </c>
      <c r="C57" s="124">
        <v>0.36699999999999999</v>
      </c>
      <c r="D57" s="124" t="s">
        <v>197</v>
      </c>
      <c r="E57" s="124">
        <v>1.56</v>
      </c>
      <c r="F57" s="125" t="s">
        <v>112</v>
      </c>
      <c r="G57" s="126">
        <v>0.6</v>
      </c>
      <c r="H57" s="124" t="s">
        <v>198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217</v>
      </c>
      <c r="B58" s="123" t="s">
        <v>196</v>
      </c>
      <c r="C58" s="124">
        <v>0.36</v>
      </c>
      <c r="D58" s="124" t="s">
        <v>197</v>
      </c>
      <c r="E58" s="124">
        <v>1.56</v>
      </c>
      <c r="F58" s="125" t="s">
        <v>112</v>
      </c>
      <c r="G58" s="126">
        <v>0.6</v>
      </c>
      <c r="H58" s="124" t="s">
        <v>198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218</v>
      </c>
      <c r="B59" s="123" t="s">
        <v>196</v>
      </c>
      <c r="C59" s="124">
        <v>0.36799999999999999</v>
      </c>
      <c r="D59" s="124" t="s">
        <v>197</v>
      </c>
      <c r="E59" s="124">
        <v>1.56</v>
      </c>
      <c r="F59" s="125" t="s">
        <v>112</v>
      </c>
      <c r="G59" s="126">
        <v>0.6</v>
      </c>
      <c r="H59" s="124" t="s">
        <v>198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219</v>
      </c>
      <c r="B60" s="123" t="s">
        <v>196</v>
      </c>
      <c r="C60" s="124">
        <v>0.30599999999999999</v>
      </c>
      <c r="D60" s="124" t="s">
        <v>197</v>
      </c>
      <c r="E60" s="124">
        <v>1.56</v>
      </c>
      <c r="F60" s="125" t="s">
        <v>112</v>
      </c>
      <c r="G60" s="126">
        <v>0.6</v>
      </c>
      <c r="H60" s="124" t="s">
        <v>198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220</v>
      </c>
      <c r="B61" s="123" t="s">
        <v>196</v>
      </c>
      <c r="C61" s="124">
        <v>0.313</v>
      </c>
      <c r="D61" s="124" t="s">
        <v>197</v>
      </c>
      <c r="E61" s="124">
        <v>1.56</v>
      </c>
      <c r="F61" s="125" t="s">
        <v>112</v>
      </c>
      <c r="G61" s="126">
        <v>0.6</v>
      </c>
      <c r="H61" s="124" t="s">
        <v>198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221</v>
      </c>
      <c r="B62" s="123" t="s">
        <v>222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198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223</v>
      </c>
      <c r="B63" s="123" t="s">
        <v>224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225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226</v>
      </c>
      <c r="B64" s="123" t="s">
        <v>227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225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228</v>
      </c>
      <c r="B65" s="123" t="s">
        <v>229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225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230</v>
      </c>
      <c r="B66" s="123" t="s">
        <v>231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225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16</v>
      </c>
      <c r="B67" s="123" t="s">
        <v>232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233</v>
      </c>
      <c r="B68" s="123" t="s">
        <v>234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225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235</v>
      </c>
      <c r="B69" s="123" t="s">
        <v>236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225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237</v>
      </c>
      <c r="B70" s="123" t="s">
        <v>238</v>
      </c>
      <c r="C70" s="124">
        <v>0.48</v>
      </c>
      <c r="D70" s="124" t="s">
        <v>111</v>
      </c>
      <c r="E70" s="124">
        <v>2.4</v>
      </c>
      <c r="F70" s="124" t="s">
        <v>239</v>
      </c>
      <c r="G70" s="126">
        <v>0.45</v>
      </c>
      <c r="H70" s="124" t="s">
        <v>225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240</v>
      </c>
      <c r="B71" s="123" t="s">
        <v>241</v>
      </c>
      <c r="C71" s="124">
        <v>0.46</v>
      </c>
      <c r="D71" s="124" t="s">
        <v>242</v>
      </c>
      <c r="E71" s="124">
        <v>1.3</v>
      </c>
      <c r="F71" s="125" t="s">
        <v>112</v>
      </c>
      <c r="G71" s="126">
        <v>0.45</v>
      </c>
      <c r="H71" s="124" t="s">
        <v>225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243</v>
      </c>
      <c r="B72" s="123" t="s">
        <v>244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225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19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112</v>
      </c>
      <c r="G73" s="126">
        <v>0.45</v>
      </c>
      <c r="H73" s="124" t="s">
        <v>225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225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21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71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 x14ac:dyDescent="0.35">
      <c r="A89" s="133" t="s">
        <v>278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 x14ac:dyDescent="0.3">
      <c r="A93" s="122" t="s">
        <v>72</v>
      </c>
    </row>
    <row r="94" spans="1:14" x14ac:dyDescent="0.3">
      <c r="A94" s="122" t="s">
        <v>73</v>
      </c>
    </row>
    <row r="95" spans="1:14" x14ac:dyDescent="0.3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A6" zoomScale="70" zoomScaleNormal="70" zoomScaleSheetLayoutView="25" workbookViewId="0">
      <selection activeCell="I9" sqref="I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4.7422400000000007</v>
      </c>
      <c r="C6" s="147">
        <f ca="1">IF(OR('Données projet'!B9="",'Données projet'!C9="",'Données projet'!C9=0%),0,Calculateur!S3)</f>
        <v>318.97291652986593</v>
      </c>
      <c r="D6" s="147">
        <f>IF(OR('Données projet'!B9="",'Données projet'!C9="",'Données projet'!C9=0%),0,Calculateur!T3)</f>
        <v>338.19413170988122</v>
      </c>
      <c r="E6" s="147">
        <f ca="1">MIN(C6,D6)</f>
        <v>318.97291652986593</v>
      </c>
      <c r="F6" s="147">
        <f ca="1">E6*B6</f>
        <v>1512.6461236845917</v>
      </c>
      <c r="G6" s="147">
        <f ca="1">F6*(100%-'Données projet'!$C$24)*(100%-'Données projet'!$C$25)*(100%-'Données projet'!$C$26)*(100%-'Données projet'!$C$27)</f>
        <v>925.73942769497012</v>
      </c>
      <c r="H6" s="148">
        <f>IF(OR('Données projet'!B9="",'Données projet'!C9="",'Données projet'!C9=0%),0,AVERAGE(Calculateur!$AC$3:$AC$33)*B6)</f>
        <v>33.727864206988933</v>
      </c>
      <c r="I6" s="149">
        <f>H6*(100%-'Données projet'!$C$24)*(100%-'Données projet'!$C$25)*(100%-'Données projet'!$C$26)*(100%-'Données projet'!$C$27)</f>
        <v>20.641452894677229</v>
      </c>
      <c r="J6" s="150">
        <f>IF(OR('Données projet'!B9="",'Données projet'!C9="",'Données projet'!C9=0%),0,SUM(Calculateur!$V$3:$V$33)*VLOOKUP('Données projet'!$B$9,Paramètres!$A$1:$I$89,9,0)*B6)</f>
        <v>400.10278879999998</v>
      </c>
      <c r="K6" s="151">
        <f>J6*(100%-'Données projet'!$C$24)*(100%-'Données projet'!$C$25)*(100%-'Données projet'!$C$26)*(100%-'Données projet'!$C$27)</f>
        <v>244.86290674560004</v>
      </c>
      <c r="L6" s="152">
        <f ca="1">G6+I6+K6</f>
        <v>1191.2437873352474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4.7422400000000007</v>
      </c>
      <c r="C7" s="147">
        <f ca="1">IF(OR('Données projet'!B10="",'Données projet'!C10="",'Données projet'!C10=0%),0,Calculateur!AN3)</f>
        <v>318.97291652986593</v>
      </c>
      <c r="D7" s="147">
        <f>IF(OR('Données projet'!B10="",'Données projet'!C10="",'Données projet'!C10=0%),0,Calculateur!AO3)</f>
        <v>338.19413170988122</v>
      </c>
      <c r="E7" s="147">
        <f t="shared" ref="E7:E15" ca="1" si="0">MIN(C7,D7)</f>
        <v>318.97291652986593</v>
      </c>
      <c r="F7" s="147">
        <f t="shared" ref="F7:F15" ca="1" si="1">E7*B7</f>
        <v>1512.6461236845917</v>
      </c>
      <c r="G7" s="147">
        <f ca="1">F7*(100%-'Données projet'!$C$24)*(100%-'Données projet'!$C$25)*(100%-'Données projet'!$C$26)*(100%-'Données projet'!$C$27)</f>
        <v>925.73942769497012</v>
      </c>
      <c r="H7" s="155">
        <f>IF(OR('Données projet'!B10="",'Données projet'!C10="",'Données projet'!C10=0%),0,AVERAGE(Calculateur!$AX$3:$AX$33)*B7)</f>
        <v>33.727864206988933</v>
      </c>
      <c r="I7" s="149">
        <f>H7*(100%-'Données projet'!$C$24)*(100%-'Données projet'!$C$25)*(100%-'Données projet'!$C$26)*(100%-'Données projet'!$C$27)</f>
        <v>20.641452894677229</v>
      </c>
      <c r="J7" s="150">
        <f>IF(OR('Données projet'!B10="",'Données projet'!C10="",'Données projet'!C10=0%),0,SUM(Calculateur!$AQ$3:$AQ$33)*VLOOKUP('Données projet'!$B$10,Paramètres!$A$1:$I$89,9,0)*B7)</f>
        <v>291.60033760000005</v>
      </c>
      <c r="K7" s="151">
        <f>J7*(100%-'Données projet'!$C$24)*(100%-'Données projet'!$C$25)*(100%-'Données projet'!$C$26)*(100%-'Données projet'!$C$27)</f>
        <v>178.45940661120002</v>
      </c>
      <c r="L7" s="152">
        <f t="shared" ref="L7:L15" ca="1" si="2">G7+I7+K7</f>
        <v>1124.8402872008473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Robinier faux-acacia</v>
      </c>
      <c r="B8" s="154">
        <f>'Données projet'!D11</f>
        <v>1.77834</v>
      </c>
      <c r="C8" s="147">
        <f ca="1">IF(OR('Données projet'!B11="",'Données projet'!C11="",'Données projet'!C11=0%),0,Calculateur!BI3)</f>
        <v>436.23918637269577</v>
      </c>
      <c r="D8" s="147">
        <f>IF(OR('Données projet'!B11="",'Données projet'!C11="",'Données projet'!C11=0%),0,Calculateur!BJ3)</f>
        <v>611.43967996341894</v>
      </c>
      <c r="E8" s="147">
        <f t="shared" ca="1" si="0"/>
        <v>436.23918637269577</v>
      </c>
      <c r="F8" s="147">
        <f t="shared" ca="1" si="1"/>
        <v>775.78159469401976</v>
      </c>
      <c r="G8" s="147">
        <f ca="1">F8*(100%-'Données projet'!$C$24)*(100%-'Données projet'!$C$25)*(100%-'Données projet'!$C$26)*(100%-'Données projet'!$C$27)</f>
        <v>474.77833595274012</v>
      </c>
      <c r="H8" s="155">
        <f>IF(OR('Données projet'!B11="",'Données projet'!C11="",'Données projet'!C11=0%),0,AVERAGE(Calculateur!$BS$3:$BS$33)*B8)</f>
        <v>8.6837235074744772</v>
      </c>
      <c r="I8" s="149">
        <f>H8*(100%-'Données projet'!$C$24)*(100%-'Données projet'!$C$25)*(100%-'Données projet'!$C$26)*(100%-'Données projet'!$C$27)</f>
        <v>5.3144387865743807</v>
      </c>
      <c r="J8" s="150">
        <f>IF(OR('Données projet'!B11="",'Données projet'!C11="",'Données projet'!C11=0%),0,SUM(Calculateur!$BL$3:$BL$33)*VLOOKUP('Données projet'!$B$11,Paramètres!$A$1:$I$89,9,0)*B8)</f>
        <v>57.351465000000005</v>
      </c>
      <c r="K8" s="151">
        <f>J8*(100%-'Données projet'!$C$24)*(100%-'Données projet'!$C$25)*(100%-'Données projet'!$C$26)*(100%-'Données projet'!$C$27)</f>
        <v>35.099096580000008</v>
      </c>
      <c r="L8" s="152">
        <f t="shared" ca="1" si="2"/>
        <v>515.19187131931449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pédonculé</v>
      </c>
      <c r="B9" s="154">
        <f>'Données projet'!D12</f>
        <v>0.59278000000000008</v>
      </c>
      <c r="C9" s="147">
        <f ca="1">IF(OR('Données projet'!B12="",'Données projet'!C12="",'Données projet'!C12=0%),0,Calculateur!CD3)</f>
        <v>507.79096804746297</v>
      </c>
      <c r="D9" s="147">
        <f>IF(OR('Données projet'!B12="",'Données projet'!C12="",'Données projet'!C12=0%),0,Calculateur!CE3)</f>
        <v>312.67921212138998</v>
      </c>
      <c r="E9" s="147">
        <f t="shared" ca="1" si="0"/>
        <v>312.67921212138998</v>
      </c>
      <c r="F9" s="147">
        <f t="shared" ca="1" si="1"/>
        <v>185.34998336131758</v>
      </c>
      <c r="G9" s="147">
        <f ca="1">F9*(100%-'Données projet'!$C$24)*(100%-'Données projet'!$C$25)*(100%-'Données projet'!$C$26)*(100%-'Données projet'!$C$27)</f>
        <v>113.43418981712638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5.9278000000000013</v>
      </c>
      <c r="K9" s="151">
        <f>J9*(100%-'Données projet'!$C$24)*(100%-'Données projet'!$C$25)*(100%-'Données projet'!$C$26)*(100%-'Données projet'!$C$27)</f>
        <v>3.627813600000001</v>
      </c>
      <c r="L9" s="152">
        <f t="shared" ca="1" si="2"/>
        <v>117.06200341712638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3986.4238254245211</v>
      </c>
      <c r="G16" s="166">
        <f t="shared" ca="1" si="3"/>
        <v>2439.691381159807</v>
      </c>
      <c r="H16" s="167">
        <f t="shared" si="3"/>
        <v>76.139451921452348</v>
      </c>
      <c r="I16" s="167">
        <f t="shared" si="3"/>
        <v>46.597344575928837</v>
      </c>
      <c r="J16" s="168">
        <f t="shared" si="3"/>
        <v>754.98239139999998</v>
      </c>
      <c r="K16" s="168">
        <f t="shared" si="3"/>
        <v>462.04922353680007</v>
      </c>
      <c r="L16" s="169">
        <f t="shared" ca="1" si="3"/>
        <v>2948.3379492725358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Robinier faux-acacia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pédonculé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zoomScale="70" zoomScaleNormal="70" workbookViewId="0">
      <selection activeCell="C48" sqref="C48:C6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4.7422400000000007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4.7422400000000007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Robinier faux-acacia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1.77834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Chêne pédonculé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0.59278000000000008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76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48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196</v>
      </c>
      <c r="C17" s="198"/>
      <c r="D17" s="197" t="s">
        <v>196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196</v>
      </c>
      <c r="C18" s="198"/>
      <c r="D18" s="197" t="s">
        <v>196</v>
      </c>
      <c r="E18" s="193"/>
      <c r="F18" s="230"/>
      <c r="G18" s="303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196</v>
      </c>
      <c r="C19" s="198"/>
      <c r="D19" s="197" t="s">
        <v>196</v>
      </c>
      <c r="E19" s="193"/>
      <c r="F19" s="230"/>
      <c r="G19" s="303"/>
      <c r="H19" s="212" t="s">
        <v>76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196</v>
      </c>
      <c r="C20" s="198"/>
      <c r="D20" s="197" t="s">
        <v>196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196</v>
      </c>
      <c r="C21" s="198"/>
      <c r="D21" s="197" t="s">
        <v>196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196</v>
      </c>
      <c r="C22" s="198"/>
      <c r="D22" s="197" t="s">
        <v>196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76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48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196</v>
      </c>
      <c r="C48" s="198"/>
      <c r="D48" s="197" t="s">
        <v>196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196</v>
      </c>
      <c r="C49" s="198"/>
      <c r="D49" s="197" t="s">
        <v>196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196</v>
      </c>
      <c r="C50" s="198"/>
      <c r="D50" s="197" t="s">
        <v>196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196</v>
      </c>
      <c r="C51" s="198"/>
      <c r="D51" s="197" t="s">
        <v>196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196</v>
      </c>
      <c r="C52" s="198"/>
      <c r="D52" s="197" t="s">
        <v>196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196</v>
      </c>
      <c r="C53" s="198"/>
      <c r="D53" s="197" t="s">
        <v>196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16</v>
      </c>
      <c r="B55" s="181">
        <f>'Données projet'!D63</f>
        <v>25</v>
      </c>
      <c r="C55" s="193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33.700000000000003</v>
      </c>
      <c r="C56" s="193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24</v>
      </c>
      <c r="B57" s="181">
        <f>'Données projet'!D65</f>
        <v>42.9</v>
      </c>
      <c r="C57" s="193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28</v>
      </c>
      <c r="B58" s="181">
        <f>'Données projet'!D66</f>
        <v>41.4</v>
      </c>
      <c r="C58" s="193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34</v>
      </c>
      <c r="B59" s="181">
        <f>'Données projet'!D67</f>
        <v>59.9</v>
      </c>
      <c r="C59" s="193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34.1</v>
      </c>
      <c r="C60" s="193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46</v>
      </c>
      <c r="B61" s="181">
        <f>'Données projet'!D69</f>
        <v>21.3</v>
      </c>
      <c r="C61" s="193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54</v>
      </c>
      <c r="B62" s="181">
        <f>'Données projet'!D70</f>
        <v>17.399999999999999</v>
      </c>
      <c r="C62" s="193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62</v>
      </c>
      <c r="B63" s="181">
        <f>'Données projet'!D71</f>
        <v>410.00000000000006</v>
      </c>
      <c r="C63" s="193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>Robinier faux-acacia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48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196</v>
      </c>
      <c r="C79" s="198" t="s">
        <v>196</v>
      </c>
      <c r="D79" s="197" t="s">
        <v>196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196</v>
      </c>
      <c r="C80" s="198" t="s">
        <v>196</v>
      </c>
      <c r="D80" s="197" t="s">
        <v>196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196</v>
      </c>
      <c r="C81" s="198" t="s">
        <v>196</v>
      </c>
      <c r="D81" s="197" t="s">
        <v>196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196</v>
      </c>
      <c r="C82" s="198" t="s">
        <v>196</v>
      </c>
      <c r="D82" s="197" t="s">
        <v>196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196</v>
      </c>
      <c r="C83" s="198" t="s">
        <v>196</v>
      </c>
      <c r="D83" s="197" t="s">
        <v>196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196</v>
      </c>
      <c r="C84" s="198" t="s">
        <v>196</v>
      </c>
      <c r="D84" s="197" t="s">
        <v>196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5</v>
      </c>
      <c r="B85" s="181">
        <f>'Données projet'!D88</f>
        <v>8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10</v>
      </c>
      <c r="B86" s="181">
        <f>'Données projet'!D89</f>
        <v>37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15</v>
      </c>
      <c r="B87" s="181">
        <f>'Données projet'!D90</f>
        <v>29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20</v>
      </c>
      <c r="B88" s="181">
        <f>'Données projet'!D91</f>
        <v>23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25</v>
      </c>
      <c r="B89" s="181">
        <f>'Données projet'!D92</f>
        <v>18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30</v>
      </c>
      <c r="B90" s="181">
        <f>'Données projet'!D93</f>
        <v>14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35</v>
      </c>
      <c r="B91" s="181">
        <f>'Données projet'!D94</f>
        <v>11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40</v>
      </c>
      <c r="B92" s="181">
        <f>'Données projet'!D95</f>
        <v>9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45</v>
      </c>
      <c r="B93" s="181">
        <f>'Données projet'!D96</f>
        <v>378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22</v>
      </c>
      <c r="B107" s="174" t="str">
        <f>IF('Données projet'!B12="","",'Données projet'!B12)</f>
        <v>Chêne pédonculé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48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196</v>
      </c>
      <c r="C110" s="198" t="s">
        <v>196</v>
      </c>
      <c r="D110" s="197" t="s">
        <v>196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196</v>
      </c>
      <c r="C111" s="198" t="s">
        <v>196</v>
      </c>
      <c r="D111" s="197" t="s">
        <v>196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196</v>
      </c>
      <c r="C112" s="198" t="s">
        <v>196</v>
      </c>
      <c r="D112" s="197" t="s">
        <v>196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196</v>
      </c>
      <c r="C113" s="198" t="s">
        <v>196</v>
      </c>
      <c r="D113" s="197" t="s">
        <v>196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196</v>
      </c>
      <c r="C114" s="198" t="s">
        <v>196</v>
      </c>
      <c r="D114" s="197" t="s">
        <v>196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196</v>
      </c>
      <c r="C115" s="198" t="s">
        <v>196</v>
      </c>
      <c r="D115" s="197" t="s">
        <v>196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34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56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56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56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56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56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56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55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51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47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130</v>
      </c>
      <c r="B127" s="181">
        <f>'Données projet'!D125</f>
        <v>44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140</v>
      </c>
      <c r="B128" s="181">
        <f>'Données projet'!D126</f>
        <v>41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150</v>
      </c>
      <c r="B129" s="181">
        <f>'Données projet'!D127</f>
        <v>355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48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196</v>
      </c>
      <c r="C141" s="198" t="s">
        <v>196</v>
      </c>
      <c r="D141" s="197" t="s">
        <v>196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196</v>
      </c>
      <c r="C142" s="198" t="s">
        <v>196</v>
      </c>
      <c r="D142" s="197" t="s">
        <v>196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196</v>
      </c>
      <c r="C143" s="198" t="s">
        <v>196</v>
      </c>
      <c r="D143" s="197" t="s">
        <v>196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196</v>
      </c>
      <c r="C144" s="198" t="s">
        <v>196</v>
      </c>
      <c r="D144" s="197" t="s">
        <v>196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196</v>
      </c>
      <c r="C145" s="198" t="s">
        <v>196</v>
      </c>
      <c r="D145" s="197" t="s">
        <v>196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196</v>
      </c>
      <c r="C146" s="198" t="s">
        <v>196</v>
      </c>
      <c r="D146" s="197" t="s">
        <v>196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25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48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196</v>
      </c>
      <c r="C172" s="198" t="s">
        <v>196</v>
      </c>
      <c r="D172" s="197" t="s">
        <v>196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196</v>
      </c>
      <c r="C173" s="198" t="s">
        <v>196</v>
      </c>
      <c r="D173" s="197" t="s">
        <v>196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196</v>
      </c>
      <c r="C174" s="198" t="s">
        <v>196</v>
      </c>
      <c r="D174" s="197" t="s">
        <v>196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196</v>
      </c>
      <c r="C175" s="198" t="s">
        <v>196</v>
      </c>
      <c r="D175" s="197" t="s">
        <v>196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196</v>
      </c>
      <c r="C176" s="198" t="s">
        <v>196</v>
      </c>
      <c r="D176" s="197" t="s">
        <v>196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196</v>
      </c>
      <c r="C177" s="198" t="s">
        <v>196</v>
      </c>
      <c r="D177" s="197" t="s">
        <v>196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26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48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196</v>
      </c>
      <c r="C203" s="198" t="s">
        <v>196</v>
      </c>
      <c r="D203" s="197" t="s">
        <v>196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196</v>
      </c>
      <c r="C204" s="198" t="s">
        <v>196</v>
      </c>
      <c r="D204" s="197" t="s">
        <v>196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196</v>
      </c>
      <c r="C205" s="198" t="s">
        <v>196</v>
      </c>
      <c r="D205" s="197" t="s">
        <v>196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196</v>
      </c>
      <c r="C206" s="198" t="s">
        <v>196</v>
      </c>
      <c r="D206" s="197" t="s">
        <v>196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196</v>
      </c>
      <c r="C207" s="198" t="s">
        <v>196</v>
      </c>
      <c r="D207" s="197" t="s">
        <v>196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196</v>
      </c>
      <c r="C208" s="198" t="s">
        <v>196</v>
      </c>
      <c r="D208" s="197" t="s">
        <v>196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27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48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196</v>
      </c>
      <c r="C234" s="198" t="s">
        <v>196</v>
      </c>
      <c r="D234" s="197" t="s">
        <v>196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196</v>
      </c>
      <c r="C235" s="198" t="s">
        <v>196</v>
      </c>
      <c r="D235" s="197" t="s">
        <v>196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196</v>
      </c>
      <c r="C236" s="198" t="s">
        <v>196</v>
      </c>
      <c r="D236" s="197" t="s">
        <v>196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196</v>
      </c>
      <c r="C237" s="198" t="s">
        <v>196</v>
      </c>
      <c r="D237" s="197" t="s">
        <v>196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196</v>
      </c>
      <c r="C238" s="198" t="s">
        <v>196</v>
      </c>
      <c r="D238" s="197" t="s">
        <v>196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196</v>
      </c>
      <c r="C239" s="198" t="s">
        <v>196</v>
      </c>
      <c r="D239" s="197" t="s">
        <v>196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28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48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196</v>
      </c>
      <c r="C265" s="198" t="s">
        <v>196</v>
      </c>
      <c r="D265" s="197" t="s">
        <v>196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196</v>
      </c>
      <c r="C266" s="198" t="s">
        <v>196</v>
      </c>
      <c r="D266" s="197" t="s">
        <v>196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196</v>
      </c>
      <c r="C267" s="198" t="s">
        <v>196</v>
      </c>
      <c r="D267" s="197" t="s">
        <v>196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196</v>
      </c>
      <c r="C268" s="198" t="s">
        <v>196</v>
      </c>
      <c r="D268" s="197" t="s">
        <v>196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196</v>
      </c>
      <c r="C269" s="198" t="s">
        <v>196</v>
      </c>
      <c r="D269" s="197" t="s">
        <v>196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196</v>
      </c>
      <c r="C270" s="198" t="s">
        <v>196</v>
      </c>
      <c r="D270" s="197" t="s">
        <v>196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29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48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196</v>
      </c>
      <c r="C296" s="198" t="s">
        <v>196</v>
      </c>
      <c r="D296" s="197" t="s">
        <v>196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196</v>
      </c>
      <c r="C297" s="198" t="s">
        <v>196</v>
      </c>
      <c r="D297" s="197" t="s">
        <v>196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196</v>
      </c>
      <c r="C298" s="198" t="s">
        <v>196</v>
      </c>
      <c r="D298" s="197" t="s">
        <v>196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196</v>
      </c>
      <c r="C299" s="198" t="s">
        <v>196</v>
      </c>
      <c r="D299" s="197" t="s">
        <v>196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196</v>
      </c>
      <c r="C300" s="198" t="s">
        <v>196</v>
      </c>
      <c r="D300" s="197" t="s">
        <v>196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196</v>
      </c>
      <c r="C301" s="198" t="s">
        <v>196</v>
      </c>
      <c r="D301" s="197" t="s">
        <v>196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69B8A680599D4AB998E759F9B6C472" ma:contentTypeVersion="10" ma:contentTypeDescription="Crée un document." ma:contentTypeScope="" ma:versionID="47fc7e11dc29a03ccf4a9e0ee645f1f8">
  <xsd:schema xmlns:xsd="http://www.w3.org/2001/XMLSchema" xmlns:xs="http://www.w3.org/2001/XMLSchema" xmlns:p="http://schemas.microsoft.com/office/2006/metadata/properties" xmlns:ns2="d802feaf-8b7a-418f-ac0f-7e0aea1900e5" xmlns:ns3="3040f95c-592e-43cd-bd85-3b4c23f2f4e0" targetNamespace="http://schemas.microsoft.com/office/2006/metadata/properties" ma:root="true" ma:fieldsID="c32d194230f17ff27f3358ca90d5f3a0" ns2:_="" ns3:_="">
    <xsd:import namespace="d802feaf-8b7a-418f-ac0f-7e0aea1900e5"/>
    <xsd:import namespace="3040f95c-592e-43cd-bd85-3b4c23f2f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2feaf-8b7a-418f-ac0f-7e0aea190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86e25e76-68da-4001-b174-d372f4c4a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0f95c-592e-43cd-bd85-3b4c23f2f4e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c91e724-fcc7-40c2-a98b-f32186cfefdf}" ma:internalName="TaxCatchAll" ma:showField="CatchAllData" ma:web="3040f95c-592e-43cd-bd85-3b4c23f2f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0f95c-592e-43cd-bd85-3b4c23f2f4e0" xsi:nil="true"/>
    <lcf76f155ced4ddcb4097134ff3c332f xmlns="d802feaf-8b7a-418f-ac0f-7e0aea1900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F768D4-D636-4A3E-A2D7-942F595AF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2feaf-8b7a-418f-ac0f-7e0aea1900e5"/>
    <ds:schemaRef ds:uri="3040f95c-592e-43cd-bd85-3b4c23f2f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DA704-F3A5-406E-8E69-B3DCD0B66A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5F201E-DED4-47B5-9344-744ABD6AF301}">
  <ds:schemaRefs>
    <ds:schemaRef ds:uri="http://schemas.microsoft.com/office/2006/metadata/properties"/>
    <ds:schemaRef ds:uri="http://schemas.microsoft.com/office/infopath/2007/PartnerControls"/>
    <ds:schemaRef ds:uri="3040f95c-592e-43cd-bd85-3b4c23f2f4e0"/>
    <ds:schemaRef ds:uri="d802feaf-8b7a-418f-ac0f-7e0aea1900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'Données projet'!Zone_d_impression</vt:lpstr>
      <vt:lpstr>REE!Zone_d_impression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Morgane PICHELIN</cp:lastModifiedBy>
  <cp:revision/>
  <cp:lastPrinted>2023-04-20T14:13:14Z</cp:lastPrinted>
  <dcterms:created xsi:type="dcterms:W3CDTF">2021-02-01T08:22:39Z</dcterms:created>
  <dcterms:modified xsi:type="dcterms:W3CDTF">2023-05-11T14:34:57Z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0x0101001969B8A680599D4AB998E759F9B6C472</vt:lpwstr>
  </property>
  <property fmtid="{D5CDD505-2E9C-101B-9397-08002B2CF9AE}" pid="3" name="MediaServiceImageTags">
    <vt:lpwstr/>
  </property>
</Properties>
</file>