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LBC/Dossiers LBC/C. CORMIER (G.)/THEPAULT - 9804486/"/>
    </mc:Choice>
  </mc:AlternateContent>
  <xr:revisionPtr revIDLastSave="0" documentId="8_{27088C5C-E607-4441-ABBA-90F0FF7138EB}" xr6:coauthVersionLast="47" xr6:coauthVersionMax="47" xr10:uidLastSave="{00000000-0000-0000-0000-000000000000}"/>
  <bookViews>
    <workbookView xWindow="300" yWindow="204" windowWidth="13104" windowHeight="119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l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G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B113" i="2"/>
  <c r="HG113" i="2"/>
  <c r="HI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HH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A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EW155" i="2"/>
  <c r="HH155" i="2"/>
  <c r="HG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H156" i="2" l="1"/>
  <c r="HI156" i="2"/>
  <c r="FS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DG160" i="2"/>
  <c r="HH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EX161" i="2"/>
  <c r="EB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G162" i="2"/>
  <c r="EB162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G163" i="2"/>
  <c r="HH163" i="2"/>
  <c r="EA163" i="2"/>
  <c r="ED163" i="2" s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HH164" i="2" l="1"/>
  <c r="FR164" i="2"/>
  <c r="DI163" i="2"/>
  <c r="EA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FR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C168" i="2"/>
  <c r="HH168" i="2"/>
  <c r="EB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B169" i="2"/>
  <c r="HH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HJ172" i="2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FQ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EB178" i="2"/>
  <c r="FS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W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H186" i="2"/>
  <c r="EA186" i="2"/>
  <c r="HG186" i="2"/>
  <c r="FS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V190" i="2"/>
  <c r="HH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EA199" i="2"/>
  <c r="FS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68" i="2" a="1"/>
  <c r="BC68" i="2" s="1"/>
  <c r="BC47" i="2" a="1"/>
  <c r="BC47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26" i="2" l="1" a="1"/>
  <c r="BC126" i="2" s="1"/>
  <c r="BC55" i="2" a="1"/>
  <c r="BC55" i="2" s="1"/>
  <c r="BC130" i="2" a="1"/>
  <c r="BC130" i="2" s="1"/>
  <c r="EI165" i="2" a="1"/>
  <c r="EI165" i="2" s="1"/>
  <c r="EI139" i="2" a="1"/>
  <c r="EI139" i="2" s="1"/>
  <c r="EI142" i="2" a="1"/>
  <c r="EI142" i="2" s="1"/>
  <c r="AH62" i="2" a="1"/>
  <c r="AH62" i="2" s="1"/>
  <c r="BC58" i="2" a="1"/>
  <c r="BC58" i="2" s="1"/>
  <c r="BC34" i="2" a="1"/>
  <c r="BC34" i="2" s="1"/>
  <c r="BC65" i="2" a="1"/>
  <c r="BC65" i="2" s="1"/>
  <c r="BC114" i="2" a="1"/>
  <c r="BC114" i="2" s="1"/>
  <c r="BC82" i="2" a="1"/>
  <c r="BC82" i="2" s="1"/>
  <c r="AH163" i="2" a="1"/>
  <c r="AH163" i="2" s="1"/>
  <c r="AH19" i="2" a="1"/>
  <c r="AH19" i="2" s="1"/>
  <c r="AH90" i="2" a="1"/>
  <c r="AH90" i="2" s="1"/>
  <c r="AH151" i="2" a="1"/>
  <c r="AH151" i="2" s="1"/>
  <c r="AH199" i="2" a="1"/>
  <c r="AH199" i="2" s="1"/>
  <c r="AH166" i="2" a="1"/>
  <c r="AH166" i="2" s="1"/>
  <c r="EI67" i="2" a="1"/>
  <c r="EI67" i="2" s="1"/>
  <c r="EI71" i="2" a="1"/>
  <c r="EI71" i="2" s="1"/>
  <c r="EI106" i="2" a="1"/>
  <c r="EI106" i="2" s="1"/>
  <c r="EI170" i="2" a="1"/>
  <c r="EI170" i="2" s="1"/>
  <c r="EI57" i="2" a="1"/>
  <c r="EI57" i="2" s="1"/>
  <c r="EI166" i="2" a="1"/>
  <c r="EI166" i="2" s="1"/>
  <c r="EI16" i="2" a="1"/>
  <c r="EI16" i="2" s="1"/>
  <c r="EI36" i="2" a="1"/>
  <c r="EI36" i="2" s="1"/>
  <c r="EI113" i="2" a="1"/>
  <c r="EI113" i="2" s="1"/>
  <c r="EI87" i="2" a="1"/>
  <c r="EI87" i="2" s="1"/>
  <c r="EI128" i="2" a="1"/>
  <c r="EI128" i="2" s="1"/>
  <c r="EI109" i="2" a="1"/>
  <c r="EI109" i="2" s="1"/>
  <c r="EI195" i="2" a="1"/>
  <c r="EI195" i="2" s="1"/>
  <c r="EI37" i="2" a="1"/>
  <c r="EI37" i="2" s="1"/>
  <c r="EI20" i="2" a="1"/>
  <c r="EI20" i="2" s="1"/>
  <c r="EI38" i="2" a="1"/>
  <c r="EI38" i="2" s="1"/>
  <c r="EI35" i="2" a="1"/>
  <c r="EI35" i="2" s="1"/>
  <c r="EI34" i="2" a="1"/>
  <c r="EI34" i="2" s="1"/>
  <c r="AH92" i="2" a="1"/>
  <c r="AH92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<sst xmlns="http://schemas.openxmlformats.org/spreadsheetml/2006/main" count="1172" uniqueCount="325">
  <si>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</si>
  <si>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</si>
  <si>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</si>
  <si>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</si>
  <si>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</si>
  <si>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</si>
  <si>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</si>
  <si>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</si>
  <si>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</si>
  <si>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</si>
  <si>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</si>
  <si>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</si>
  <si>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</si>
  <si>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</si>
  <si>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</si>
  <si>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</si>
  <si>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Epicéa de Sitka</t>
  </si>
  <si>
    <t>NB : La durée de révolution doit être identique à la dernière année indiquée dans la table de production renseignée en dessous</t>
  </si>
  <si>
    <t>Essence 2</t>
  </si>
  <si>
    <t>Châtaignier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</si>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</sst>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1.5980045614422742</c:v>
                </c:pt>
                <c:pt idx="2">
                  <c:v>2.0843083645700404</c:v>
                </c:pt>
                <c:pt idx="3">
                  <c:v>2.7192156105341128</c:v>
                </c:pt>
                <c:pt idx="4">
                  <c:v>3.5483127644733039</c:v>
                </c:pt>
                <c:pt idx="5">
                  <c:v>4.6312214419665088</c:v>
                </c:pt>
                <c:pt idx="6">
                  <c:v>6.0459340907915946</c:v>
                </c:pt>
                <c:pt idx="7">
                  <c:v>7.8944931838800372</c:v>
                </c:pt>
                <c:pt idx="8">
                  <c:v>10.31043142172968</c:v>
                </c:pt>
                <c:pt idx="9">
                  <c:v>13.468520515430084</c:v>
                </c:pt>
                <c:pt idx="10">
                  <c:v>17.597546813573835</c:v>
                </c:pt>
                <c:pt idx="11">
                  <c:v>22.997056058944917</c:v>
                </c:pt>
                <c:pt idx="12">
                  <c:v>30.059303610600974</c:v>
                </c:pt>
                <c:pt idx="13">
                  <c:v>39.298032477367883</c:v>
                </c:pt>
                <c:pt idx="14">
                  <c:v>51.38620829566154</c:v>
                </c:pt>
                <c:pt idx="15">
                  <c:v>67.205505808960694</c:v>
                </c:pt>
                <c:pt idx="16">
                  <c:v>87.911215218076961</c:v>
                </c:pt>
                <c:pt idx="17">
                  <c:v>115.01738434833072</c:v>
                </c:pt>
                <c:pt idx="18">
                  <c:v>150.5085198437738</c:v>
                </c:pt>
                <c:pt idx="19">
                  <c:v>137.25475210550681</c:v>
                </c:pt>
                <c:pt idx="20">
                  <c:v>172.87596436429328</c:v>
                </c:pt>
                <c:pt idx="21">
                  <c:v>208.32386777264207</c:v>
                </c:pt>
                <c:pt idx="22">
                  <c:v>204.95432295191324</c:v>
                </c:pt>
                <c:pt idx="23">
                  <c:v>246.98851191302231</c:v>
                </c:pt>
                <c:pt idx="24">
                  <c:v>288.85990949975201</c:v>
                </c:pt>
                <c:pt idx="25">
                  <c:v>284.59563159222211</c:v>
                </c:pt>
                <c:pt idx="26">
                  <c:v>330.4287481051519</c:v>
                </c:pt>
                <c:pt idx="27">
                  <c:v>376.12147111328591</c:v>
                </c:pt>
                <c:pt idx="28">
                  <c:v>421.69323961894673</c:v>
                </c:pt>
                <c:pt idx="29">
                  <c:v>387.33822121677053</c:v>
                </c:pt>
                <c:pt idx="30">
                  <c:v>432.63408155595886</c:v>
                </c:pt>
                <c:pt idx="31">
                  <c:v>477.82807613542383</c:v>
                </c:pt>
                <c:pt idx="32">
                  <c:v>522.93117688121504</c:v>
                </c:pt>
                <c:pt idx="33">
                  <c:v>509.06241049820727</c:v>
                </c:pt>
                <c:pt idx="34">
                  <c:v>550.64568947389932</c:v>
                </c:pt>
                <c:pt idx="35">
                  <c:v>592.16315090012722</c:v>
                </c:pt>
                <c:pt idx="36">
                  <c:v>633.62004858200532</c:v>
                </c:pt>
                <c:pt idx="37">
                  <c:v>592.16315090012722</c:v>
                </c:pt>
                <c:pt idx="38">
                  <c:v>627.70116457558152</c:v>
                </c:pt>
                <c:pt idx="39">
                  <c:v>663.19756235900854</c:v>
                </c:pt>
                <c:pt idx="40">
                  <c:v>698.65488065528405</c:v>
                </c:pt>
                <c:pt idx="41">
                  <c:v>734.07537786366504</c:v>
                </c:pt>
                <c:pt idx="42">
                  <c:v>769.46107705348243</c:v>
                </c:pt>
                <c:pt idx="43">
                  <c:v>720.69849545736179</c:v>
                </c:pt>
                <c:pt idx="44">
                  <c:v>749.60994093627244</c:v>
                </c:pt>
                <c:pt idx="45">
                  <c:v>778.4987302179652</c:v>
                </c:pt>
                <c:pt idx="46">
                  <c:v>807.365820924525</c:v>
                </c:pt>
                <c:pt idx="47">
                  <c:v>836.21209672927228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44.716696017915012</c:v>
                </c:pt>
                <c:pt idx="12">
                  <c:v>68.267356266852531</c:v>
                </c:pt>
                <c:pt idx="13">
                  <c:v>91.605526277825675</c:v>
                </c:pt>
                <c:pt idx="14">
                  <c:v>114.79386073387417</c:v>
                </c:pt>
                <c:pt idx="15">
                  <c:v>137.86711899238378</c:v>
                </c:pt>
                <c:pt idx="16">
                  <c:v>96.447363572255242</c:v>
                </c:pt>
                <c:pt idx="17">
                  <c:v>122.49645924610256</c:v>
                </c:pt>
                <c:pt idx="18">
                  <c:v>148.41023510355402</c:v>
                </c:pt>
                <c:pt idx="19">
                  <c:v>174.21574506160064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46" sqref="I46"/>
    </sheetView>
  </sheetViews>
  <sheetFormatPr baseColWidth="10" defaultColWidth="11.44140625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C10" sqref="C1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7</v>
      </c>
      <c r="B5" s="268"/>
      <c r="C5" s="24">
        <v>6.09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15</v>
      </c>
      <c r="B9" s="31" t="s">
        <v>16</v>
      </c>
      <c r="C9" s="32">
        <v>0.9</v>
      </c>
      <c r="D9" s="33">
        <f t="shared" ref="D9:D18" si="0">C9*$C$5</f>
        <v>5.4809999999999999</v>
      </c>
      <c r="E9" s="34">
        <v>47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18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20</v>
      </c>
      <c r="B11" s="31" t="s">
        <v>19</v>
      </c>
      <c r="C11" s="32">
        <v>0.1</v>
      </c>
      <c r="D11" s="33">
        <f t="shared" si="0"/>
        <v>0.60899999999999999</v>
      </c>
      <c r="E11" s="34">
        <v>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28</v>
      </c>
      <c r="C19" s="37">
        <f>SUM(C9:C18)</f>
        <v>1</v>
      </c>
      <c r="D19" s="38">
        <f>SUM(D9:D18)</f>
        <v>6.09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29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35</v>
      </c>
      <c r="B26" s="42" t="s">
        <v>36</v>
      </c>
      <c r="C26" s="43">
        <v>0.05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41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15</v>
      </c>
      <c r="B32" s="47" t="str">
        <f>IF(B9="","",B9)</f>
        <v>Epicéa de Sitka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43</v>
      </c>
      <c r="C34" s="259" t="s">
        <v>44</v>
      </c>
      <c r="D34" s="259"/>
      <c r="E34" s="260" t="s">
        <v>45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18</v>
      </c>
      <c r="B36" s="60">
        <v>144</v>
      </c>
      <c r="C36" s="60">
        <v>1</v>
      </c>
      <c r="D36" s="60">
        <v>48</v>
      </c>
      <c r="E36" s="51"/>
      <c r="F36" s="51"/>
      <c r="G36" s="51"/>
      <c r="H36" s="51">
        <v>1</v>
      </c>
      <c r="I36" s="49">
        <f>IFERROR(B36/A36,"")</f>
        <v>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21</v>
      </c>
      <c r="B37" s="60">
        <v>201</v>
      </c>
      <c r="C37" s="60">
        <v>2</v>
      </c>
      <c r="D37" s="60">
        <v>45</v>
      </c>
      <c r="E37" s="51"/>
      <c r="F37" s="51"/>
      <c r="G37" s="51"/>
      <c r="H37" s="51">
        <v>1</v>
      </c>
      <c r="I37" s="53">
        <f t="shared" ref="I37:I43" si="1">IF(A37&lt;&gt;0,(B37-(B36-D36))/(A37-A36),"")</f>
        <v>35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v>281</v>
      </c>
      <c r="C38" s="60">
        <v>3</v>
      </c>
      <c r="D38" s="60">
        <v>50</v>
      </c>
      <c r="E38" s="51"/>
      <c r="F38" s="51">
        <v>0.8</v>
      </c>
      <c r="G38" s="51"/>
      <c r="H38" s="51">
        <v>0.2</v>
      </c>
      <c r="I38" s="53">
        <f t="shared" si="1"/>
        <v>41.666666666666664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28</v>
      </c>
      <c r="B39" s="60">
        <v>414</v>
      </c>
      <c r="C39" s="60">
        <v>4</v>
      </c>
      <c r="D39" s="60">
        <v>80</v>
      </c>
      <c r="E39" s="51"/>
      <c r="F39" s="51">
        <v>0.8</v>
      </c>
      <c r="G39" s="51"/>
      <c r="H39" s="51">
        <v>0.2</v>
      </c>
      <c r="I39" s="49">
        <f t="shared" si="1"/>
        <v>45.75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32</v>
      </c>
      <c r="B40" s="60">
        <v>516</v>
      </c>
      <c r="C40" s="60">
        <v>5</v>
      </c>
      <c r="D40" s="60">
        <v>56</v>
      </c>
      <c r="E40" s="51"/>
      <c r="F40" s="51">
        <v>0.8</v>
      </c>
      <c r="G40" s="51"/>
      <c r="H40" s="51">
        <v>0.2</v>
      </c>
      <c r="I40" s="49">
        <f t="shared" si="1"/>
        <v>45.5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36</v>
      </c>
      <c r="B41" s="60">
        <v>628</v>
      </c>
      <c r="C41" s="60">
        <v>6</v>
      </c>
      <c r="D41" s="60">
        <v>78</v>
      </c>
      <c r="E41" s="51"/>
      <c r="F41" s="51">
        <v>0.8</v>
      </c>
      <c r="G41" s="51"/>
      <c r="H41" s="51">
        <v>0.2</v>
      </c>
      <c r="I41" s="53">
        <f t="shared" si="1"/>
        <v>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42</v>
      </c>
      <c r="B42" s="60">
        <v>766</v>
      </c>
      <c r="C42" s="60">
        <v>7</v>
      </c>
      <c r="D42" s="60">
        <v>79</v>
      </c>
      <c r="E42" s="51"/>
      <c r="F42" s="51">
        <v>0.2</v>
      </c>
      <c r="G42" s="51"/>
      <c r="H42" s="51">
        <v>0.2</v>
      </c>
      <c r="I42" s="53">
        <f t="shared" si="1"/>
        <v>36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47</v>
      </c>
      <c r="B43" s="60">
        <v>834</v>
      </c>
      <c r="C43" s="60" t="s">
        <v>55</v>
      </c>
      <c r="D43" s="60">
        <v>834</v>
      </c>
      <c r="E43" s="51">
        <v>1</v>
      </c>
      <c r="F43" s="51"/>
      <c r="G43" s="51"/>
      <c r="H43" s="51"/>
      <c r="I43" s="49">
        <f t="shared" si="1"/>
        <v>29.4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ref="I44:I55" si="2">IF(A44&lt;&gt;0,(B44-(B43-D43))/(A44-A43),"")</f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2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2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2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2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2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2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2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2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2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2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2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18</v>
      </c>
      <c r="B58" s="52" t="str">
        <f>IF(B10="","",B10)</f>
        <v/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43</v>
      </c>
      <c r="C60" s="259" t="s">
        <v>44</v>
      </c>
      <c r="D60" s="259"/>
      <c r="E60" s="260" t="s">
        <v>45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IF(A65&lt;&gt;0,(B64-(B63-D63))/(A65-A63),"")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 t="shared" ref="I65:I71" si="3">IF(A66&lt;&gt;0,(B65-(B64-D64))/(A66-A65),"")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si="3"/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3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3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60"/>
      <c r="D69" s="50"/>
      <c r="E69" s="51"/>
      <c r="F69" s="51"/>
      <c r="G69" s="51"/>
      <c r="H69" s="51"/>
      <c r="I69" s="49" t="str">
        <f t="shared" si="3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6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6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60"/>
      <c r="D72" s="50"/>
      <c r="E72" s="51"/>
      <c r="F72" s="51"/>
      <c r="G72" s="51"/>
      <c r="H72" s="51"/>
      <c r="I72" s="49" t="str">
        <f t="shared" ref="I72:I74" si="4">IF(A73&lt;&gt;0,(B72-(B71-D71))/(A73-A72),"")</f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60"/>
      <c r="D73" s="50"/>
      <c r="E73" s="51"/>
      <c r="F73" s="51"/>
      <c r="G73" s="51"/>
      <c r="H73" s="51"/>
      <c r="I73" s="49" t="str">
        <f t="shared" si="4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6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60"/>
      <c r="D75" s="50"/>
      <c r="E75" s="51"/>
      <c r="F75" s="51"/>
      <c r="G75" s="51"/>
      <c r="H75" s="51"/>
      <c r="I75" s="49" t="e">
        <f>IF(#REF!&lt;&gt;0,(B75-(B74-D74))/(#REF!-A75),"")</f>
        <v>#REF!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>IF(A76&lt;&gt;0,(B76-(B75-D75))/(A76-#REF!),"")</f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ref="I77:I81" si="5">IF(A77&lt;&gt;0,(B77-(B76-D76))/(A77-A76),"")</f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5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5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5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5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20</v>
      </c>
      <c r="B84" s="52" t="str">
        <f>IF(B11="","",B11)</f>
        <v>Châtaignier</v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43</v>
      </c>
      <c r="C86" s="259" t="s">
        <v>44</v>
      </c>
      <c r="D86" s="259"/>
      <c r="E86" s="260" t="s">
        <v>45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19</v>
      </c>
      <c r="C88" s="60">
        <v>1</v>
      </c>
      <c r="D88" s="60">
        <v>7</v>
      </c>
      <c r="E88" s="51"/>
      <c r="F88" s="51"/>
      <c r="G88" s="51"/>
      <c r="H88" s="87">
        <v>1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v>84</v>
      </c>
      <c r="C89" s="60">
        <v>2</v>
      </c>
      <c r="D89" s="60">
        <v>42</v>
      </c>
      <c r="E89" s="51"/>
      <c r="F89" s="51"/>
      <c r="G89" s="51"/>
      <c r="H89" s="87">
        <v>1</v>
      </c>
      <c r="I89" s="53">
        <f t="shared" ref="I89:I97" si="6">IF(A89&lt;&gt;0,(B89-(B88-D88))/(A89-A88),"")</f>
        <v>14.4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123</v>
      </c>
      <c r="C90" s="60">
        <v>3</v>
      </c>
      <c r="D90" s="60">
        <v>42</v>
      </c>
      <c r="E90" s="87"/>
      <c r="F90" s="87"/>
      <c r="G90" s="87"/>
      <c r="H90" s="87">
        <v>1</v>
      </c>
      <c r="I90" s="53">
        <f t="shared" si="6"/>
        <v>16.2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25</v>
      </c>
      <c r="B91" s="60">
        <v>165</v>
      </c>
      <c r="C91" s="60">
        <v>4</v>
      </c>
      <c r="D91" s="60">
        <v>42</v>
      </c>
      <c r="E91" s="87"/>
      <c r="F91" s="87"/>
      <c r="G91" s="87"/>
      <c r="H91" s="87">
        <v>1</v>
      </c>
      <c r="I91" s="53">
        <f t="shared" si="6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30</v>
      </c>
      <c r="B92" s="60">
        <v>205</v>
      </c>
      <c r="C92" s="60">
        <v>5</v>
      </c>
      <c r="D92" s="60">
        <v>42</v>
      </c>
      <c r="E92" s="87"/>
      <c r="F92" s="87">
        <v>0.8</v>
      </c>
      <c r="G92" s="87"/>
      <c r="H92" s="87">
        <v>0.2</v>
      </c>
      <c r="I92" s="53">
        <f t="shared" si="6"/>
        <v>16.399999999999999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35</v>
      </c>
      <c r="B93" s="60">
        <v>239</v>
      </c>
      <c r="C93" s="60">
        <v>6</v>
      </c>
      <c r="D93" s="60">
        <v>42</v>
      </c>
      <c r="E93" s="87"/>
      <c r="F93" s="87">
        <v>0.8</v>
      </c>
      <c r="G93" s="87"/>
      <c r="H93" s="87">
        <v>0.2</v>
      </c>
      <c r="I93" s="53">
        <f t="shared" si="6"/>
        <v>15.2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v>263</v>
      </c>
      <c r="C94" s="60">
        <v>7</v>
      </c>
      <c r="D94" s="60">
        <v>40</v>
      </c>
      <c r="E94" s="87"/>
      <c r="F94" s="87">
        <v>0.8</v>
      </c>
      <c r="G94" s="87"/>
      <c r="H94" s="87">
        <v>0.2</v>
      </c>
      <c r="I94" s="53">
        <f t="shared" si="6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45</v>
      </c>
      <c r="B95" s="60">
        <v>280</v>
      </c>
      <c r="C95" s="60">
        <v>8</v>
      </c>
      <c r="D95" s="60">
        <v>26</v>
      </c>
      <c r="E95" s="87">
        <v>1</v>
      </c>
      <c r="F95" s="87"/>
      <c r="G95" s="87"/>
      <c r="H95" s="87"/>
      <c r="I95" s="53">
        <f t="shared" si="6"/>
        <v>11.4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50</v>
      </c>
      <c r="B96" s="60">
        <v>303</v>
      </c>
      <c r="C96" s="60">
        <v>9</v>
      </c>
      <c r="D96" s="60">
        <v>303</v>
      </c>
      <c r="E96" s="87">
        <v>1</v>
      </c>
      <c r="F96" s="87"/>
      <c r="G96" s="87"/>
      <c r="H96" s="87"/>
      <c r="I96" s="53">
        <f t="shared" si="6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6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ref="I98:I107" si="7">IF(A98&lt;&gt;0,(B98-(B97-D97))/(A98-A97),"")</f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7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7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7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7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7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7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7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7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7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43</v>
      </c>
      <c r="C112" s="259" t="s">
        <v>44</v>
      </c>
      <c r="D112" s="259"/>
      <c r="E112" s="260" t="s">
        <v>45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8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8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8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8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8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8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8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8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8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8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8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8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8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8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8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8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8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8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8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43</v>
      </c>
      <c r="C138" s="259" t="s">
        <v>44</v>
      </c>
      <c r="D138" s="259"/>
      <c r="E138" s="260" t="s">
        <v>45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9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9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9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9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9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9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9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9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9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9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9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9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9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9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9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9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9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9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43</v>
      </c>
      <c r="C164" s="259" t="s">
        <v>44</v>
      </c>
      <c r="D164" s="259"/>
      <c r="E164" s="260" t="s">
        <v>45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10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10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10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10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10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10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10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10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10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10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10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10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10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10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10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10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10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10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10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43</v>
      </c>
      <c r="C190" s="259" t="s">
        <v>44</v>
      </c>
      <c r="D190" s="259"/>
      <c r="E190" s="260" t="s">
        <v>45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11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11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11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11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11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11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11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11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11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11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11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11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11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11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11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11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11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11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11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43</v>
      </c>
      <c r="C216" s="259" t="s">
        <v>44</v>
      </c>
      <c r="D216" s="259"/>
      <c r="E216" s="260" t="s">
        <v>45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2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2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2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2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2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2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2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2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2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2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2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2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2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2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2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2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2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2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2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43</v>
      </c>
      <c r="C242" s="259" t="s">
        <v>44</v>
      </c>
      <c r="D242" s="259"/>
      <c r="E242" s="260" t="s">
        <v>45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3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3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3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3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3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3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3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3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3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3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3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3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3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3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3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3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3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43</v>
      </c>
      <c r="C268" s="259" t="s">
        <v>44</v>
      </c>
      <c r="D268" s="259"/>
      <c r="E268" s="260" t="s">
        <v>45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4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4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4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4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4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4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4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4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4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4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4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4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4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4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4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4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4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4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5" zoomScaleNormal="85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56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57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58</v>
      </c>
      <c r="C7" s="100" t="s">
        <v>59</v>
      </c>
      <c r="D7" s="215"/>
      <c r="E7" s="101"/>
      <c r="F7" s="26" t="s">
        <v>58</v>
      </c>
      <c r="G7" s="100" t="s">
        <v>60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61</v>
      </c>
      <c r="D8" s="23"/>
      <c r="E8" s="105">
        <v>4</v>
      </c>
      <c r="F8" s="61">
        <v>0</v>
      </c>
      <c r="G8" s="102" t="s">
        <v>62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63</v>
      </c>
      <c r="D9" s="23"/>
      <c r="E9" s="105">
        <v>5</v>
      </c>
      <c r="F9" s="61">
        <v>0</v>
      </c>
      <c r="G9" s="103" t="s">
        <v>64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65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66</v>
      </c>
      <c r="D13" s="216"/>
      <c r="E13" s="99"/>
      <c r="F13" s="107"/>
      <c r="G13" s="98" t="s">
        <v>67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68</v>
      </c>
      <c r="D14" s="216"/>
      <c r="E14" s="99"/>
      <c r="F14" s="107"/>
      <c r="G14" s="98" t="s">
        <v>69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58</v>
      </c>
      <c r="C15" s="4"/>
      <c r="D15" s="23"/>
      <c r="E15" s="4"/>
      <c r="F15" s="4"/>
      <c r="G15" s="2" t="s">
        <v>70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71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72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73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74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Epicéa de Sitka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Châtaignier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75</v>
      </c>
      <c r="B2" s="72" t="s">
        <v>76</v>
      </c>
      <c r="C2" s="5" t="s">
        <v>77</v>
      </c>
      <c r="D2" s="5" t="s">
        <v>78</v>
      </c>
      <c r="E2" s="5" t="s">
        <v>79</v>
      </c>
      <c r="F2" s="5" t="s">
        <v>80</v>
      </c>
      <c r="G2" s="5" t="s">
        <v>81</v>
      </c>
      <c r="H2" s="66" t="s">
        <v>82</v>
      </c>
      <c r="I2" s="68" t="s">
        <v>79</v>
      </c>
      <c r="J2" s="69" t="s">
        <v>80</v>
      </c>
      <c r="K2" s="6" t="s">
        <v>83</v>
      </c>
      <c r="L2" s="6" t="s">
        <v>84</v>
      </c>
      <c r="M2" s="6" t="s">
        <v>84</v>
      </c>
      <c r="N2" s="6" t="s">
        <v>85</v>
      </c>
      <c r="O2" s="6" t="s">
        <v>86</v>
      </c>
      <c r="P2" s="6" t="s">
        <v>87</v>
      </c>
      <c r="Q2" s="6" t="s">
        <v>81</v>
      </c>
      <c r="R2" s="6" t="s">
        <v>88</v>
      </c>
      <c r="S2" s="6" t="s">
        <v>89</v>
      </c>
      <c r="T2" s="6" t="s">
        <v>90</v>
      </c>
      <c r="U2" s="7" t="s">
        <v>91</v>
      </c>
      <c r="V2" s="8" t="s">
        <v>92</v>
      </c>
      <c r="W2" s="7" t="s">
        <v>50</v>
      </c>
      <c r="X2" s="7" t="s">
        <v>51</v>
      </c>
      <c r="Y2" s="7" t="s">
        <v>93</v>
      </c>
      <c r="Z2" s="8" t="s">
        <v>94</v>
      </c>
      <c r="AA2" s="8" t="s">
        <v>95</v>
      </c>
      <c r="AB2" s="8" t="s">
        <v>96</v>
      </c>
      <c r="AC2" s="9" t="s">
        <v>97</v>
      </c>
      <c r="AD2" s="69" t="s">
        <v>79</v>
      </c>
      <c r="AE2" s="69" t="s">
        <v>80</v>
      </c>
      <c r="AF2" s="6" t="s">
        <v>83</v>
      </c>
      <c r="AG2" s="6" t="s">
        <v>84</v>
      </c>
      <c r="AH2" s="6" t="s">
        <v>84</v>
      </c>
      <c r="AI2" s="6" t="s">
        <v>85</v>
      </c>
      <c r="AJ2" s="6" t="s">
        <v>86</v>
      </c>
      <c r="AK2" s="6" t="s">
        <v>87</v>
      </c>
      <c r="AL2" s="6" t="s">
        <v>81</v>
      </c>
      <c r="AM2" s="6" t="s">
        <v>88</v>
      </c>
      <c r="AN2" s="6" t="s">
        <v>89</v>
      </c>
      <c r="AO2" s="6" t="s">
        <v>90</v>
      </c>
      <c r="AP2" s="7" t="s">
        <v>91</v>
      </c>
      <c r="AQ2" s="8" t="s">
        <v>92</v>
      </c>
      <c r="AR2" s="7" t="s">
        <v>50</v>
      </c>
      <c r="AS2" s="7" t="s">
        <v>51</v>
      </c>
      <c r="AT2" s="8" t="s">
        <v>98</v>
      </c>
      <c r="AU2" s="8" t="s">
        <v>94</v>
      </c>
      <c r="AV2" s="8" t="s">
        <v>95</v>
      </c>
      <c r="AW2" s="8" t="s">
        <v>96</v>
      </c>
      <c r="AX2" s="8" t="s">
        <v>97</v>
      </c>
      <c r="AY2" s="68" t="s">
        <v>79</v>
      </c>
      <c r="AZ2" s="69" t="s">
        <v>80</v>
      </c>
      <c r="BA2" s="6" t="s">
        <v>83</v>
      </c>
      <c r="BB2" s="6" t="s">
        <v>84</v>
      </c>
      <c r="BC2" s="6" t="s">
        <v>84</v>
      </c>
      <c r="BD2" s="6" t="s">
        <v>85</v>
      </c>
      <c r="BE2" s="6" t="s">
        <v>86</v>
      </c>
      <c r="BF2" s="6" t="s">
        <v>87</v>
      </c>
      <c r="BG2" s="6" t="s">
        <v>81</v>
      </c>
      <c r="BH2" s="6" t="s">
        <v>88</v>
      </c>
      <c r="BI2" s="6" t="s">
        <v>89</v>
      </c>
      <c r="BJ2" s="6" t="s">
        <v>90</v>
      </c>
      <c r="BK2" s="7" t="s">
        <v>91</v>
      </c>
      <c r="BL2" s="8" t="s">
        <v>92</v>
      </c>
      <c r="BM2" s="7" t="s">
        <v>50</v>
      </c>
      <c r="BN2" s="7" t="s">
        <v>51</v>
      </c>
      <c r="BO2" s="8" t="s">
        <v>98</v>
      </c>
      <c r="BP2" s="8" t="s">
        <v>94</v>
      </c>
      <c r="BQ2" s="8" t="s">
        <v>95</v>
      </c>
      <c r="BR2" s="8" t="s">
        <v>96</v>
      </c>
      <c r="BS2" s="9" t="s">
        <v>97</v>
      </c>
      <c r="BT2" s="68" t="s">
        <v>79</v>
      </c>
      <c r="BU2" s="69" t="s">
        <v>80</v>
      </c>
      <c r="BV2" s="6" t="s">
        <v>83</v>
      </c>
      <c r="BW2" s="6" t="s">
        <v>84</v>
      </c>
      <c r="BX2" s="6" t="s">
        <v>84</v>
      </c>
      <c r="BY2" s="6" t="s">
        <v>85</v>
      </c>
      <c r="BZ2" s="6" t="s">
        <v>86</v>
      </c>
      <c r="CA2" s="6" t="s">
        <v>87</v>
      </c>
      <c r="CB2" s="6" t="s">
        <v>81</v>
      </c>
      <c r="CC2" s="6" t="s">
        <v>88</v>
      </c>
      <c r="CD2" s="6" t="s">
        <v>89</v>
      </c>
      <c r="CE2" s="6" t="s">
        <v>90</v>
      </c>
      <c r="CF2" s="7" t="s">
        <v>91</v>
      </c>
      <c r="CG2" s="8" t="s">
        <v>92</v>
      </c>
      <c r="CH2" s="7" t="s">
        <v>50</v>
      </c>
      <c r="CI2" s="7" t="s">
        <v>51</v>
      </c>
      <c r="CJ2" s="8" t="s">
        <v>98</v>
      </c>
      <c r="CK2" s="8" t="s">
        <v>94</v>
      </c>
      <c r="CL2" s="8" t="s">
        <v>95</v>
      </c>
      <c r="CM2" s="8" t="s">
        <v>96</v>
      </c>
      <c r="CN2" s="9" t="s">
        <v>97</v>
      </c>
      <c r="CO2" s="68" t="s">
        <v>79</v>
      </c>
      <c r="CP2" s="69" t="s">
        <v>80</v>
      </c>
      <c r="CQ2" s="6" t="s">
        <v>83</v>
      </c>
      <c r="CR2" s="6" t="s">
        <v>84</v>
      </c>
      <c r="CS2" s="6" t="s">
        <v>84</v>
      </c>
      <c r="CT2" s="6" t="s">
        <v>85</v>
      </c>
      <c r="CU2" s="6" t="s">
        <v>86</v>
      </c>
      <c r="CV2" s="6" t="s">
        <v>87</v>
      </c>
      <c r="CW2" s="6" t="s">
        <v>81</v>
      </c>
      <c r="CX2" s="6" t="s">
        <v>88</v>
      </c>
      <c r="CY2" s="6" t="s">
        <v>89</v>
      </c>
      <c r="CZ2" s="6" t="s">
        <v>90</v>
      </c>
      <c r="DA2" s="7" t="s">
        <v>91</v>
      </c>
      <c r="DB2" s="8" t="s">
        <v>92</v>
      </c>
      <c r="DC2" s="7" t="s">
        <v>50</v>
      </c>
      <c r="DD2" s="7" t="s">
        <v>51</v>
      </c>
      <c r="DE2" s="8" t="s">
        <v>98</v>
      </c>
      <c r="DF2" s="8" t="s">
        <v>94</v>
      </c>
      <c r="DG2" s="8" t="s">
        <v>95</v>
      </c>
      <c r="DH2" s="8" t="s">
        <v>96</v>
      </c>
      <c r="DI2" s="9" t="s">
        <v>97</v>
      </c>
      <c r="DJ2" s="68" t="s">
        <v>79</v>
      </c>
      <c r="DK2" s="69" t="s">
        <v>80</v>
      </c>
      <c r="DL2" s="6" t="s">
        <v>83</v>
      </c>
      <c r="DM2" s="6" t="s">
        <v>84</v>
      </c>
      <c r="DN2" s="6" t="s">
        <v>84</v>
      </c>
      <c r="DO2" s="6" t="s">
        <v>85</v>
      </c>
      <c r="DP2" s="6" t="s">
        <v>86</v>
      </c>
      <c r="DQ2" s="6" t="s">
        <v>87</v>
      </c>
      <c r="DR2" s="6" t="s">
        <v>81</v>
      </c>
      <c r="DS2" s="6" t="s">
        <v>88</v>
      </c>
      <c r="DT2" s="6" t="s">
        <v>89</v>
      </c>
      <c r="DU2" s="6" t="s">
        <v>90</v>
      </c>
      <c r="DV2" s="7" t="s">
        <v>91</v>
      </c>
      <c r="DW2" s="8" t="s">
        <v>92</v>
      </c>
      <c r="DX2" s="7" t="s">
        <v>50</v>
      </c>
      <c r="DY2" s="7" t="s">
        <v>51</v>
      </c>
      <c r="DZ2" s="8" t="s">
        <v>98</v>
      </c>
      <c r="EA2" s="8" t="s">
        <v>94</v>
      </c>
      <c r="EB2" s="8" t="s">
        <v>95</v>
      </c>
      <c r="EC2" s="8" t="s">
        <v>96</v>
      </c>
      <c r="ED2" s="9" t="s">
        <v>97</v>
      </c>
      <c r="EE2" s="68" t="s">
        <v>79</v>
      </c>
      <c r="EF2" s="69" t="s">
        <v>80</v>
      </c>
      <c r="EG2" s="6" t="s">
        <v>83</v>
      </c>
      <c r="EH2" s="6" t="s">
        <v>84</v>
      </c>
      <c r="EI2" s="6" t="s">
        <v>84</v>
      </c>
      <c r="EJ2" s="6" t="s">
        <v>85</v>
      </c>
      <c r="EK2" s="6" t="s">
        <v>86</v>
      </c>
      <c r="EL2" s="6" t="s">
        <v>87</v>
      </c>
      <c r="EM2" s="6" t="s">
        <v>81</v>
      </c>
      <c r="EN2" s="6" t="s">
        <v>88</v>
      </c>
      <c r="EO2" s="6" t="s">
        <v>89</v>
      </c>
      <c r="EP2" s="6" t="s">
        <v>90</v>
      </c>
      <c r="EQ2" s="7" t="s">
        <v>91</v>
      </c>
      <c r="ER2" s="8" t="s">
        <v>92</v>
      </c>
      <c r="ES2" s="7" t="s">
        <v>50</v>
      </c>
      <c r="ET2" s="7" t="s">
        <v>51</v>
      </c>
      <c r="EU2" s="8" t="s">
        <v>98</v>
      </c>
      <c r="EV2" s="8" t="s">
        <v>94</v>
      </c>
      <c r="EW2" s="8" t="s">
        <v>95</v>
      </c>
      <c r="EX2" s="8" t="s">
        <v>96</v>
      </c>
      <c r="EY2" s="9" t="s">
        <v>97</v>
      </c>
      <c r="EZ2" s="68" t="s">
        <v>79</v>
      </c>
      <c r="FA2" s="69" t="s">
        <v>80</v>
      </c>
      <c r="FB2" s="6" t="s">
        <v>83</v>
      </c>
      <c r="FC2" s="6" t="s">
        <v>84</v>
      </c>
      <c r="FD2" s="6" t="s">
        <v>84</v>
      </c>
      <c r="FE2" s="6" t="s">
        <v>85</v>
      </c>
      <c r="FF2" s="6" t="s">
        <v>86</v>
      </c>
      <c r="FG2" s="6" t="s">
        <v>87</v>
      </c>
      <c r="FH2" s="6" t="s">
        <v>81</v>
      </c>
      <c r="FI2" s="6" t="s">
        <v>88</v>
      </c>
      <c r="FJ2" s="6" t="s">
        <v>89</v>
      </c>
      <c r="FK2" s="6" t="s">
        <v>90</v>
      </c>
      <c r="FL2" s="7" t="s">
        <v>91</v>
      </c>
      <c r="FM2" s="8" t="s">
        <v>92</v>
      </c>
      <c r="FN2" s="7" t="s">
        <v>50</v>
      </c>
      <c r="FO2" s="7" t="s">
        <v>51</v>
      </c>
      <c r="FP2" s="8" t="s">
        <v>99</v>
      </c>
      <c r="FQ2" s="8" t="s">
        <v>94</v>
      </c>
      <c r="FR2" s="8" t="s">
        <v>95</v>
      </c>
      <c r="FS2" s="8" t="s">
        <v>96</v>
      </c>
      <c r="FT2" s="9" t="s">
        <v>97</v>
      </c>
      <c r="FU2" s="68" t="s">
        <v>79</v>
      </c>
      <c r="FV2" s="69" t="s">
        <v>80</v>
      </c>
      <c r="FW2" s="6" t="s">
        <v>83</v>
      </c>
      <c r="FX2" s="6" t="s">
        <v>84</v>
      </c>
      <c r="FY2" s="6" t="s">
        <v>84</v>
      </c>
      <c r="FZ2" s="6" t="s">
        <v>85</v>
      </c>
      <c r="GA2" s="6" t="s">
        <v>86</v>
      </c>
      <c r="GB2" s="6" t="s">
        <v>87</v>
      </c>
      <c r="GC2" s="6" t="s">
        <v>81</v>
      </c>
      <c r="GD2" s="6" t="s">
        <v>88</v>
      </c>
      <c r="GE2" s="6" t="s">
        <v>89</v>
      </c>
      <c r="GF2" s="6" t="s">
        <v>90</v>
      </c>
      <c r="GG2" s="7" t="s">
        <v>91</v>
      </c>
      <c r="GH2" s="8" t="s">
        <v>92</v>
      </c>
      <c r="GI2" s="7" t="s">
        <v>50</v>
      </c>
      <c r="GJ2" s="7" t="s">
        <v>51</v>
      </c>
      <c r="GK2" s="8" t="s">
        <v>98</v>
      </c>
      <c r="GL2" s="8" t="s">
        <v>94</v>
      </c>
      <c r="GM2" s="8" t="s">
        <v>95</v>
      </c>
      <c r="GN2" s="8" t="s">
        <v>96</v>
      </c>
      <c r="GO2" s="8" t="s">
        <v>97</v>
      </c>
      <c r="GP2" s="68" t="s">
        <v>79</v>
      </c>
      <c r="GQ2" s="69" t="s">
        <v>80</v>
      </c>
      <c r="GR2" s="6" t="s">
        <v>83</v>
      </c>
      <c r="GS2" s="6" t="s">
        <v>84</v>
      </c>
      <c r="GT2" s="6" t="s">
        <v>84</v>
      </c>
      <c r="GU2" s="6" t="s">
        <v>85</v>
      </c>
      <c r="GV2" s="6" t="s">
        <v>86</v>
      </c>
      <c r="GW2" s="6" t="s">
        <v>87</v>
      </c>
      <c r="GX2" s="6" t="s">
        <v>81</v>
      </c>
      <c r="GY2" s="6" t="s">
        <v>88</v>
      </c>
      <c r="GZ2" s="6" t="s">
        <v>89</v>
      </c>
      <c r="HA2" s="6" t="s">
        <v>90</v>
      </c>
      <c r="HB2" s="7" t="s">
        <v>91</v>
      </c>
      <c r="HC2" s="8" t="s">
        <v>92</v>
      </c>
      <c r="HD2" s="7" t="s">
        <v>50</v>
      </c>
      <c r="HE2" s="7" t="s">
        <v>51</v>
      </c>
      <c r="HF2" s="8" t="s">
        <v>98</v>
      </c>
      <c r="HG2" s="8" t="s">
        <v>94</v>
      </c>
      <c r="HH2" s="8" t="s">
        <v>95</v>
      </c>
      <c r="HI2" s="8" t="s">
        <v>96</v>
      </c>
      <c r="HJ2" s="9" t="s">
        <v>97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345.45636360520137</v>
      </c>
      <c r="T3" s="59">
        <f>IF('Données projet'!E9&gt;30,$R$33-$H$33,LOOKUP('Données projet'!$E$9,$A$3:$A$203,R3:R203)-LOOKUP('Données projet'!$E$9,$A$3:$A$203,$H$3:$H$203))</f>
        <v>469.30074822262549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254.00493808294931</v>
      </c>
      <c r="BJ3" s="59">
        <f>IF('Données projet'!E11&gt;30,$BH$33-$H$33,LOOKUP('Données projet'!$E$11,$A$3:$A$203,BH3:BH203)-LOOKUP('Données projet'!$E$11,$A$3:$A$203,$H$3:$H$203))</f>
        <v>365.76175372075869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</v>
      </c>
      <c r="N4" s="13">
        <f>IF('Données projet'!$A$36&gt;35,N3+M4-V3,IF(A4&lt;'Données projet'!$A$36,$K$205^A4,IF(A4='Données projet'!$A$36,'Données projet'!$B$36,N3+M4-V3)))</f>
        <v>1.3179806292130023</v>
      </c>
      <c r="O4" s="13">
        <f>N4*VLOOKUP('Données projet'!$B$9,Paramètres!$A$1:$I$89,3,0)*VLOOKUP('Données projet'!$B$9,Paramètres!$A$1:$I$89,5,0)</f>
        <v>0.61681493447168512</v>
      </c>
      <c r="P4" s="13">
        <f>EXP(-1.0587+0.8836*LN(O4)+0.284)</f>
        <v>0.30069964626072099</v>
      </c>
      <c r="Q4" s="20">
        <f t="shared" ref="Q4:Q34" si="2">(O4+P4)*0.475*44/12</f>
        <v>1.5980045614422742</v>
      </c>
      <c r="R4" s="59">
        <f t="shared" si="0"/>
        <v>259.48689345033114</v>
      </c>
      <c r="S4" s="59">
        <f ca="1">AVERAGE(OFFSET($R$3,0,0,'Données projet'!$E$9+1,1))-AVERAGE(OFFSET($H$3,0,0,'Données projet'!$E$9+1,1))</f>
        <v>345.45636360520137</v>
      </c>
      <c r="T4" s="59">
        <f>$T$3</f>
        <v>469.30074822262549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0.98423276008541516</v>
      </c>
      <c r="BF4" s="13">
        <f>EXP(-1.0587+0.8836*LN(BE4)+0.284)</f>
        <v>0.45441566615213064</v>
      </c>
      <c r="BG4" s="20">
        <f t="shared" ref="BG4:BG67" si="7">(BE4+BF4)*0.475*44/12</f>
        <v>2.5056460090303925</v>
      </c>
      <c r="BH4" s="59">
        <f t="shared" ref="BH4:BH67" si="8">BG4+(AY4+AZ4)*44/12</f>
        <v>260.39453489791924</v>
      </c>
      <c r="BI4" s="59">
        <f ca="1">AVERAGE(OFFSET($BH$3,0,0,'Données projet'!$E$11+1,1))-AVERAGE(OFFSET($H$3,0,0,'Données projet'!$E$11+1,1))</f>
        <v>254.00493808294931</v>
      </c>
      <c r="BJ4" s="59">
        <f>$BJ$3</f>
        <v>365.76175372075869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</v>
      </c>
      <c r="N5" s="13">
        <f>IF('Données projet'!$A$36&gt;35,N4+M5-V4,IF(A5&lt;'Données projet'!$A$36,$K$205^A5,IF(A5='Données projet'!$A$36,'Données projet'!$B$36,N4+M5-V4)))</f>
        <v>1.7370729389807014</v>
      </c>
      <c r="O5" s="13">
        <f>N5*VLOOKUP('Données projet'!$B$9,Paramètres!$A$1:$I$89,3,0)*VLOOKUP('Données projet'!$B$9,Paramètres!$A$1:$I$89,5,0)</f>
        <v>0.81295013544296824</v>
      </c>
      <c r="P5" s="13">
        <f t="shared" ref="P5:P68" si="33">EXP(-1.0587+0.8836*LN(O5)+0.284)</f>
        <v>0.38378193990825132</v>
      </c>
      <c r="Q5" s="20">
        <f t="shared" si="2"/>
        <v>2.0843083645700404</v>
      </c>
      <c r="R5" s="59">
        <f t="shared" si="0"/>
        <v>261.19541947568121</v>
      </c>
      <c r="S5" s="59">
        <f ca="1">AVERAGE(OFFSET($R$3,0,0,'Données projet'!$E$9+1,1))-AVERAGE(OFFSET($H$3,0,0,'Données projet'!$E$9+1,1))</f>
        <v>345.45636360520137</v>
      </c>
      <c r="T5" s="59">
        <f t="shared" ref="T5:T68" si="34">$T$3</f>
        <v>469.30074822262549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1.3212140289489287</v>
      </c>
      <c r="BF5" s="13">
        <f t="shared" ref="BF5:BF68" si="37">EXP(-1.0587+0.8836*LN(BE5)+0.284)</f>
        <v>0.58944591680017422</v>
      </c>
      <c r="BG5" s="20">
        <f t="shared" si="7"/>
        <v>3.327732738846354</v>
      </c>
      <c r="BH5" s="59">
        <f t="shared" si="8"/>
        <v>262.43884384995749</v>
      </c>
      <c r="BI5" s="59">
        <f ca="1">AVERAGE(OFFSET($BH$3,0,0,'Données projet'!$E$11+1,1))-AVERAGE(OFFSET($H$3,0,0,'Données projet'!$E$11+1,1))</f>
        <v>254.00493808294931</v>
      </c>
      <c r="BJ5" s="59">
        <f t="shared" ref="BJ5:BJ68" si="38">$BJ$3</f>
        <v>365.76175372075869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</v>
      </c>
      <c r="N6" s="13">
        <f>IF('Données projet'!$A$36&gt;35,N5+M6-V5,IF(A6&lt;'Données projet'!$A$36,$K$205^A6,IF(A6='Données projet'!$A$36,'Données projet'!$B$36,N5+M6-V5)))</f>
        <v>2.2894284851066637</v>
      </c>
      <c r="O6" s="13">
        <f>N6*VLOOKUP('Données projet'!$B$9,Paramètres!$A$1:$I$89,3,0)*VLOOKUP('Données projet'!$B$9,Paramètres!$A$1:$I$89,5,0)</f>
        <v>1.0714525310299186</v>
      </c>
      <c r="P6" s="13">
        <f t="shared" si="33"/>
        <v>0.48981958985091184</v>
      </c>
      <c r="Q6" s="20">
        <f t="shared" si="2"/>
        <v>2.7192156105341128</v>
      </c>
      <c r="R6" s="59">
        <f t="shared" si="0"/>
        <v>263.05254894386741</v>
      </c>
      <c r="S6" s="59">
        <f ca="1">AVERAGE(OFFSET($R$3,0,0,'Données projet'!$E$9+1,1))-AVERAGE(OFFSET($H$3,0,0,'Données projet'!$E$9+1,1))</f>
        <v>345.45636360520137</v>
      </c>
      <c r="T6" s="59">
        <f t="shared" si="34"/>
        <v>469.30074822262549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1.7735708270266992</v>
      </c>
      <c r="BF6" s="13">
        <f t="shared" si="37"/>
        <v>0.76460059525341872</v>
      </c>
      <c r="BG6" s="20">
        <f t="shared" si="7"/>
        <v>4.4206485604712045</v>
      </c>
      <c r="BH6" s="59">
        <f t="shared" si="8"/>
        <v>264.75398189380451</v>
      </c>
      <c r="BI6" s="59">
        <f ca="1">AVERAGE(OFFSET($BH$3,0,0,'Données projet'!$E$11+1,1))-AVERAGE(OFFSET($H$3,0,0,'Données projet'!$E$11+1,1))</f>
        <v>254.00493808294931</v>
      </c>
      <c r="BJ6" s="59">
        <f t="shared" si="38"/>
        <v>365.76175372075869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</v>
      </c>
      <c r="N7" s="13">
        <f>IF('Données projet'!$A$36&gt;35,N6+M7-V6,IF(A7&lt;'Données projet'!$A$36,$K$205^A7,IF(A7='Données projet'!$A$36,'Données projet'!$B$36,N6+M7-V6)))</f>
        <v>3.0174223953390515</v>
      </c>
      <c r="O7" s="13">
        <f>N7*VLOOKUP('Données projet'!$B$9,Paramètres!$A$1:$I$89,3,0)*VLOOKUP('Données projet'!$B$9,Paramètres!$A$1:$I$89,5,0)</f>
        <v>1.4121536810186761</v>
      </c>
      <c r="P7" s="13">
        <f t="shared" si="33"/>
        <v>0.62515508327221625</v>
      </c>
      <c r="Q7" s="20">
        <f t="shared" si="2"/>
        <v>3.5483127644733039</v>
      </c>
      <c r="R7" s="59">
        <f t="shared" si="0"/>
        <v>265.10386832002882</v>
      </c>
      <c r="S7" s="59">
        <f ca="1">AVERAGE(OFFSET($R$3,0,0,'Données projet'!$E$9+1,1))-AVERAGE(OFFSET($H$3,0,0,'Données projet'!$E$9+1,1))</f>
        <v>345.45636360520137</v>
      </c>
      <c r="T7" s="59">
        <f t="shared" si="34"/>
        <v>469.30074822262549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2.3808053877406725</v>
      </c>
      <c r="BF7" s="13">
        <f t="shared" si="37"/>
        <v>0.99180273134383279</v>
      </c>
      <c r="BG7" s="20">
        <f t="shared" si="7"/>
        <v>5.8739591407388465</v>
      </c>
      <c r="BH7" s="59">
        <f t="shared" si="8"/>
        <v>267.4295146962944</v>
      </c>
      <c r="BI7" s="59">
        <f ca="1">AVERAGE(OFFSET($BH$3,0,0,'Données projet'!$E$11+1,1))-AVERAGE(OFFSET($H$3,0,0,'Données projet'!$E$11+1,1))</f>
        <v>254.00493808294931</v>
      </c>
      <c r="BJ7" s="59">
        <f t="shared" si="38"/>
        <v>365.76175372075869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</v>
      </c>
      <c r="N8" s="13">
        <f>IF('Données projet'!$A$36&gt;35,N7+M8-V7,IF(A8&lt;'Données projet'!$A$36,$K$205^A8,IF(A8='Données projet'!$A$36,'Données projet'!$B$36,N7+M8-V7)))</f>
        <v>3.9769042672103678</v>
      </c>
      <c r="O8" s="13">
        <f>N8*VLOOKUP('Données projet'!$B$9,Paramètres!$A$1:$I$89,3,0)*VLOOKUP('Données projet'!$B$9,Paramètres!$A$1:$I$89,5,0)</f>
        <v>1.8611911970544521</v>
      </c>
      <c r="P8" s="13">
        <f t="shared" si="33"/>
        <v>0.79788331507942867</v>
      </c>
      <c r="Q8" s="20">
        <f t="shared" si="2"/>
        <v>4.6312214419665088</v>
      </c>
      <c r="R8" s="59">
        <f t="shared" si="0"/>
        <v>267.40899921974426</v>
      </c>
      <c r="S8" s="59">
        <f ca="1">AVERAGE(OFFSET($R$3,0,0,'Données projet'!$E$9+1,1))-AVERAGE(OFFSET($H$3,0,0,'Données projet'!$E$9+1,1))</f>
        <v>345.45636360520137</v>
      </c>
      <c r="T8" s="59">
        <f t="shared" si="34"/>
        <v>469.30074822262549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3.1959447054040226</v>
      </c>
      <c r="BF8" s="13">
        <f t="shared" si="37"/>
        <v>1.2865182998910156</v>
      </c>
      <c r="BG8" s="20">
        <f t="shared" si="7"/>
        <v>7.8069564008888577</v>
      </c>
      <c r="BH8" s="59">
        <f t="shared" si="8"/>
        <v>270.58473417866662</v>
      </c>
      <c r="BI8" s="59">
        <f ca="1">AVERAGE(OFFSET($BH$3,0,0,'Données projet'!$E$11+1,1))-AVERAGE(OFFSET($H$3,0,0,'Données projet'!$E$11+1,1))</f>
        <v>254.00493808294931</v>
      </c>
      <c r="BJ8" s="59">
        <f t="shared" si="38"/>
        <v>365.76175372075869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</v>
      </c>
      <c r="N9" s="13">
        <f>IF('Données projet'!$A$36&gt;35,N8+M9-V8,IF(A9&lt;'Données projet'!$A$36,$K$205^A9,IF(A9='Données projet'!$A$36,'Données projet'!$B$36,N8+M9-V8)))</f>
        <v>5.2414827884177937</v>
      </c>
      <c r="O9" s="13">
        <f>N9*VLOOKUP('Données projet'!$B$9,Paramètres!$A$1:$I$89,3,0)*VLOOKUP('Données projet'!$B$9,Paramètres!$A$1:$I$89,5,0)</f>
        <v>2.4530139449795274</v>
      </c>
      <c r="P9" s="13">
        <f t="shared" si="33"/>
        <v>1.0183357722213886</v>
      </c>
      <c r="Q9" s="20">
        <f t="shared" si="2"/>
        <v>6.0459340907915946</v>
      </c>
      <c r="R9" s="59">
        <f t="shared" si="0"/>
        <v>270.0459340907916</v>
      </c>
      <c r="S9" s="59">
        <f ca="1">AVERAGE(OFFSET($R$3,0,0,'Données projet'!$E$9+1,1))-AVERAGE(OFFSET($H$3,0,0,'Données projet'!$E$9+1,1))</f>
        <v>345.45636360520137</v>
      </c>
      <c r="T9" s="59">
        <f t="shared" si="34"/>
        <v>469.30074822262549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4.290171138134439</v>
      </c>
      <c r="BF9" s="13">
        <f t="shared" si="37"/>
        <v>1.6688090117596963</v>
      </c>
      <c r="BG9" s="20">
        <f t="shared" si="7"/>
        <v>10.378557094398952</v>
      </c>
      <c r="BH9" s="59">
        <f t="shared" si="8"/>
        <v>274.37855709439896</v>
      </c>
      <c r="BI9" s="59">
        <f ca="1">AVERAGE(OFFSET($BH$3,0,0,'Données projet'!$E$11+1,1))-AVERAGE(OFFSET($H$3,0,0,'Données projet'!$E$11+1,1))</f>
        <v>254.00493808294931</v>
      </c>
      <c r="BJ9" s="59">
        <f t="shared" si="38"/>
        <v>365.76175372075869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</v>
      </c>
      <c r="N10" s="13">
        <f>IF('Données projet'!$A$36&gt;35,N9+M10-V9,IF(A10&lt;'Données projet'!$A$36,$K$205^A10,IF(A10='Données projet'!$A$36,'Données projet'!$B$36,N9+M10-V9)))</f>
        <v>6.9081727834880056</v>
      </c>
      <c r="O10" s="13">
        <f>N10*VLOOKUP('Données projet'!$B$9,Paramètres!$A$1:$I$89,3,0)*VLOOKUP('Données projet'!$B$9,Paramètres!$A$1:$I$89,5,0)</f>
        <v>3.2330248626723868</v>
      </c>
      <c r="P10" s="13">
        <f t="shared" si="33"/>
        <v>1.2996984964931853</v>
      </c>
      <c r="Q10" s="20">
        <f t="shared" si="2"/>
        <v>7.8944931838800372</v>
      </c>
      <c r="R10" s="59">
        <f t="shared" si="0"/>
        <v>273.11671540610229</v>
      </c>
      <c r="S10" s="59">
        <f ca="1">AVERAGE(OFFSET($R$3,0,0,'Données projet'!$E$9+1,1))-AVERAGE(OFFSET($H$3,0,0,'Données projet'!$E$9+1,1))</f>
        <v>345.45636360520137</v>
      </c>
      <c r="T10" s="59">
        <f t="shared" si="34"/>
        <v>469.30074822262549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5.7590384349766044</v>
      </c>
      <c r="BF10" s="13">
        <f t="shared" si="37"/>
        <v>2.1646979432521807</v>
      </c>
      <c r="BG10" s="20">
        <f t="shared" si="7"/>
        <v>13.800507525415135</v>
      </c>
      <c r="BH10" s="59">
        <f t="shared" si="8"/>
        <v>279.02272974763736</v>
      </c>
      <c r="BI10" s="59">
        <f ca="1">AVERAGE(OFFSET($BH$3,0,0,'Données projet'!$E$11+1,1))-AVERAGE(OFFSET($H$3,0,0,'Données projet'!$E$11+1,1))</f>
        <v>254.00493808294931</v>
      </c>
      <c r="BJ10" s="59">
        <f t="shared" si="38"/>
        <v>365.76175372075869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</v>
      </c>
      <c r="N11" s="13">
        <f>IF('Données projet'!$A$36&gt;35,N10+M11-V10,IF(A11&lt;'Données projet'!$A$36,$K$205^A11,IF(A11='Données projet'!$A$36,'Données projet'!$B$36,N10+M11-V10)))</f>
        <v>9.1048379118936591</v>
      </c>
      <c r="O11" s="13">
        <f>N11*VLOOKUP('Données projet'!$B$9,Paramètres!$A$1:$I$89,3,0)*VLOOKUP('Données projet'!$B$9,Paramètres!$A$1:$I$89,5,0)</f>
        <v>4.2610641427662319</v>
      </c>
      <c r="P11" s="13">
        <f t="shared" si="33"/>
        <v>1.6588007883704257</v>
      </c>
      <c r="Q11" s="20">
        <f t="shared" si="2"/>
        <v>10.31043142172968</v>
      </c>
      <c r="R11" s="59">
        <f t="shared" si="0"/>
        <v>276.75487586617413</v>
      </c>
      <c r="S11" s="59">
        <f ca="1">AVERAGE(OFFSET($R$3,0,0,'Données projet'!$E$9+1,1))-AVERAGE(OFFSET($H$3,0,0,'Données projet'!$E$9+1,1))</f>
        <v>345.45636360520137</v>
      </c>
      <c r="T11" s="59">
        <f t="shared" si="34"/>
        <v>469.30074822262549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7.730816004221241</v>
      </c>
      <c r="BF11" s="13">
        <f t="shared" si="37"/>
        <v>2.8079409641844508</v>
      </c>
      <c r="BG11" s="20">
        <f t="shared" si="7"/>
        <v>18.355001719973249</v>
      </c>
      <c r="BH11" s="59">
        <f t="shared" si="8"/>
        <v>284.7994461644177</v>
      </c>
      <c r="BI11" s="59">
        <f ca="1">AVERAGE(OFFSET($BH$3,0,0,'Données projet'!$E$11+1,1))-AVERAGE(OFFSET($H$3,0,0,'Données projet'!$E$11+1,1))</f>
        <v>254.00493808294931</v>
      </c>
      <c r="BJ11" s="59">
        <f t="shared" si="38"/>
        <v>365.76175372075869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</v>
      </c>
      <c r="N12" s="13">
        <f>IF('Données projet'!$A$36&gt;35,N11+M12-V11,IF(A12&lt;'Données projet'!$A$36,$K$205^A12,IF(A12='Données projet'!$A$36,'Données projet'!$B$36,N11+M12-V11)))</f>
        <v>12.000000000000004</v>
      </c>
      <c r="O12" s="13">
        <f>N12*VLOOKUP('Données projet'!$B$9,Paramètres!$A$1:$I$89,3,0)*VLOOKUP('Données projet'!$B$9,Paramètres!$A$1:$I$89,5,0)</f>
        <v>5.6160000000000014</v>
      </c>
      <c r="P12" s="13">
        <f t="shared" si="33"/>
        <v>2.117121827041196</v>
      </c>
      <c r="Q12" s="20">
        <f t="shared" si="2"/>
        <v>13.468520515430084</v>
      </c>
      <c r="R12" s="59">
        <f t="shared" si="0"/>
        <v>281.13518718209679</v>
      </c>
      <c r="S12" s="59">
        <f ca="1">AVERAGE(OFFSET($R$3,0,0,'Données projet'!$E$9+1,1))-AVERAGE(OFFSET($H$3,0,0,'Données projet'!$E$9+1,1))</f>
        <v>345.45636360520137</v>
      </c>
      <c r="T12" s="59">
        <f t="shared" si="34"/>
        <v>469.30074822262549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10.377690089398765</v>
      </c>
      <c r="BF12" s="13">
        <f t="shared" si="37"/>
        <v>3.6423245482922235</v>
      </c>
      <c r="BG12" s="20">
        <f t="shared" si="7"/>
        <v>24.418192160645134</v>
      </c>
      <c r="BH12" s="59">
        <f t="shared" si="8"/>
        <v>292.08485882731179</v>
      </c>
      <c r="BI12" s="59">
        <f ca="1">AVERAGE(OFFSET($BH$3,0,0,'Données projet'!$E$11+1,1))-AVERAGE(OFFSET($H$3,0,0,'Données projet'!$E$11+1,1))</f>
        <v>254.00493808294931</v>
      </c>
      <c r="BJ12" s="59">
        <f t="shared" si="38"/>
        <v>365.76175372075869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</v>
      </c>
      <c r="N13" s="13">
        <f>IF('Données projet'!$A$36&gt;35,N12+M13-V12,IF(A13&lt;'Données projet'!$A$36,$K$205^A13,IF(A13='Données projet'!$A$36,'Données projet'!$B$36,N12+M13-V12)))</f>
        <v>15.81576755055603</v>
      </c>
      <c r="O13" s="13">
        <f>N13*VLOOKUP('Données projet'!$B$9,Paramètres!$A$1:$I$89,3,0)*VLOOKUP('Données projet'!$B$9,Paramètres!$A$1:$I$89,5,0)</f>
        <v>7.4017792136602223</v>
      </c>
      <c r="P13" s="13">
        <f t="shared" si="33"/>
        <v>2.7020754161429368</v>
      </c>
      <c r="Q13" s="20">
        <f t="shared" si="2"/>
        <v>17.597546813573835</v>
      </c>
      <c r="R13" s="59">
        <f t="shared" si="0"/>
        <v>286.4864357024627</v>
      </c>
      <c r="S13" s="59">
        <f ca="1">AVERAGE(OFFSET($R$3,0,0,'Données projet'!$E$9+1,1))-AVERAGE(OFFSET($H$3,0,0,'Données projet'!$E$9+1,1))</f>
        <v>345.45636360520137</v>
      </c>
      <c r="T13" s="59">
        <f t="shared" si="34"/>
        <v>469.30074822262549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13.9308</v>
      </c>
      <c r="BF13" s="13">
        <f t="shared" si="37"/>
        <v>4.7246463812124082</v>
      </c>
      <c r="BG13" s="20">
        <f t="shared" si="7"/>
        <v>32.491569113944941</v>
      </c>
      <c r="BH13" s="59">
        <f t="shared" si="8"/>
        <v>301.38045800283379</v>
      </c>
      <c r="BI13" s="59">
        <f ca="1">AVERAGE(OFFSET($BH$3,0,0,'Données projet'!$E$11+1,1))-AVERAGE(OFFSET($H$3,0,0,'Données projet'!$E$11+1,1))</f>
        <v>254.00493808294931</v>
      </c>
      <c r="BJ13" s="59">
        <f t="shared" si="38"/>
        <v>365.76175372075869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</v>
      </c>
      <c r="N14" s="13">
        <f>IF('Données projet'!$A$36&gt;35,N13+M14-V13,IF(A14&lt;'Données projet'!$A$36,$K$205^A14,IF(A14='Données projet'!$A$36,'Données projet'!$B$36,N13+M14-V13)))</f>
        <v>20.844875267768419</v>
      </c>
      <c r="O14" s="13">
        <f>N14*VLOOKUP('Données projet'!$B$9,Paramètres!$A$1:$I$89,3,0)*VLOOKUP('Données projet'!$B$9,Paramètres!$A$1:$I$89,5,0)</f>
        <v>9.7554016253156188</v>
      </c>
      <c r="P14" s="13">
        <f t="shared" si="33"/>
        <v>3.4486497003943812</v>
      </c>
      <c r="Q14" s="20">
        <f t="shared" si="2"/>
        <v>22.997056058944917</v>
      </c>
      <c r="R14" s="59">
        <f t="shared" si="0"/>
        <v>293.10816717005605</v>
      </c>
      <c r="S14" s="59">
        <f ca="1">AVERAGE(OFFSET($R$3,0,0,'Données projet'!$E$9+1,1))-AVERAGE(OFFSET($H$3,0,0,'Données projet'!$E$9+1,1))</f>
        <v>345.45636360520137</v>
      </c>
      <c r="T14" s="59">
        <f t="shared" si="34"/>
        <v>469.30074822262549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14.4</v>
      </c>
      <c r="BD14" s="12">
        <f>IF('Données projet'!$A$88&gt;35,BD13+BC14-BL13,IF(A14&lt;'Données projet'!$A$88,$BA$205^A14,IF(A14='Données projet'!$A$88,'Données projet'!$B$88,BD13+BC14-BL13)))</f>
        <v>26.4</v>
      </c>
      <c r="BE14" s="13">
        <f>BD14*VLOOKUP('Données projet'!$B$11,Paramètres!$A$1:$I$89,3,0)*VLOOKUP('Données projet'!$B$11,Paramètres!$A$1:$I$89,5,0)</f>
        <v>19.356480000000001</v>
      </c>
      <c r="BF14" s="13">
        <f t="shared" si="37"/>
        <v>6.3181780007167561</v>
      </c>
      <c r="BG14" s="20">
        <f t="shared" si="7"/>
        <v>44.716696017915012</v>
      </c>
      <c r="BH14" s="59">
        <f t="shared" si="8"/>
        <v>314.82780712902616</v>
      </c>
      <c r="BI14" s="59">
        <f ca="1">AVERAGE(OFFSET($BH$3,0,0,'Données projet'!$E$11+1,1))-AVERAGE(OFFSET($H$3,0,0,'Données projet'!$E$11+1,1))</f>
        <v>254.00493808294931</v>
      </c>
      <c r="BJ14" s="59">
        <f t="shared" si="38"/>
        <v>365.76175372075869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</v>
      </c>
      <c r="N15" s="13">
        <f>IF('Données projet'!$A$36&gt;35,N14+M15-V14,IF(A15&lt;'Données projet'!$A$36,$K$205^A15,IF(A15='Données projet'!$A$36,'Données projet'!$B$36,N14+M15-V14)))</f>
        <v>27.473141821279974</v>
      </c>
      <c r="O15" s="13">
        <f>N15*VLOOKUP('Données projet'!$B$9,Paramètres!$A$1:$I$89,3,0)*VLOOKUP('Données projet'!$B$9,Paramètres!$A$1:$I$89,5,0)</f>
        <v>12.857430372359026</v>
      </c>
      <c r="P15" s="13">
        <f t="shared" si="33"/>
        <v>4.4014999303783746</v>
      </c>
      <c r="Q15" s="20">
        <f t="shared" si="2"/>
        <v>30.059303610600974</v>
      </c>
      <c r="R15" s="59">
        <f t="shared" si="0"/>
        <v>301.39263694393429</v>
      </c>
      <c r="S15" s="59">
        <f ca="1">AVERAGE(OFFSET($R$3,0,0,'Données projet'!$E$9+1,1))-AVERAGE(OFFSET($H$3,0,0,'Données projet'!$E$9+1,1))</f>
        <v>345.45636360520137</v>
      </c>
      <c r="T15" s="59">
        <f t="shared" si="34"/>
        <v>469.30074822262549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14.4</v>
      </c>
      <c r="BD15" s="12">
        <f>IF('Données projet'!$A$88&gt;35,BD14+BC15-BL14,IF(A15&lt;'Données projet'!$A$88,$BA$205^A15,IF(A15='Données projet'!$A$88,'Données projet'!$B$88,BD14+BC15-BL14)))</f>
        <v>40.799999999999997</v>
      </c>
      <c r="BE15" s="13">
        <f>BD15*VLOOKUP('Données projet'!$B$11,Paramètres!$A$1:$I$89,3,0)*VLOOKUP('Données projet'!$B$11,Paramètres!$A$1:$I$89,5,0)</f>
        <v>29.914559999999998</v>
      </c>
      <c r="BF15" s="13">
        <f t="shared" si="37"/>
        <v>9.2820081914942723</v>
      </c>
      <c r="BG15" s="20">
        <f t="shared" si="7"/>
        <v>68.267356266852531</v>
      </c>
      <c r="BH15" s="59">
        <f t="shared" si="8"/>
        <v>339.60068960018583</v>
      </c>
      <c r="BI15" s="59">
        <f ca="1">AVERAGE(OFFSET($BH$3,0,0,'Données projet'!$E$11+1,1))-AVERAGE(OFFSET($H$3,0,0,'Données projet'!$E$11+1,1))</f>
        <v>254.00493808294931</v>
      </c>
      <c r="BJ15" s="59">
        <f t="shared" si="38"/>
        <v>365.76175372075869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</v>
      </c>
      <c r="N16" s="13">
        <f>IF('Données projet'!$A$36&gt;35,N15+M16-V15,IF(A16&lt;'Données projet'!$A$36,$K$205^A16,IF(A16='Données projet'!$A$36,'Données projet'!$B$36,N15+M16-V15)))</f>
        <v>36.209068744068631</v>
      </c>
      <c r="O16" s="13">
        <f>N16*VLOOKUP('Données projet'!$B$9,Paramètres!$A$1:$I$89,3,0)*VLOOKUP('Données projet'!$B$9,Paramètres!$A$1:$I$89,5,0)</f>
        <v>16.94584417222412</v>
      </c>
      <c r="P16" s="13">
        <f t="shared" si="33"/>
        <v>5.6176194511449991</v>
      </c>
      <c r="Q16" s="20">
        <f t="shared" si="2"/>
        <v>39.298032477367883</v>
      </c>
      <c r="R16" s="59">
        <f t="shared" si="0"/>
        <v>311.85358803292343</v>
      </c>
      <c r="S16" s="59">
        <f ca="1">AVERAGE(OFFSET($R$3,0,0,'Données projet'!$E$9+1,1))-AVERAGE(OFFSET($H$3,0,0,'Données projet'!$E$9+1,1))</f>
        <v>345.45636360520137</v>
      </c>
      <c r="T16" s="59">
        <f t="shared" si="34"/>
        <v>469.30074822262549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14.4</v>
      </c>
      <c r="BD16" s="12">
        <f>IF('Données projet'!$A$88&gt;35,BD15+BC16-BL15,IF(A16&lt;'Données projet'!$A$88,$BA$205^A16,IF(A16='Données projet'!$A$88,'Données projet'!$B$88,BD15+BC16-BL15)))</f>
        <v>55.199999999999996</v>
      </c>
      <c r="BE16" s="13">
        <f>BD16*VLOOKUP('Données projet'!$B$11,Paramètres!$A$1:$I$89,3,0)*VLOOKUP('Données projet'!$B$11,Paramètres!$A$1:$I$89,5,0)</f>
        <v>40.472639999999991</v>
      </c>
      <c r="BF16" s="13">
        <f t="shared" si="37"/>
        <v>12.123834417890356</v>
      </c>
      <c r="BG16" s="20">
        <f t="shared" si="7"/>
        <v>91.605526277825675</v>
      </c>
      <c r="BH16" s="59">
        <f t="shared" si="8"/>
        <v>364.16108183338122</v>
      </c>
      <c r="BI16" s="59">
        <f ca="1">AVERAGE(OFFSET($BH$3,0,0,'Données projet'!$E$11+1,1))-AVERAGE(OFFSET($H$3,0,0,'Données projet'!$E$11+1,1))</f>
        <v>254.00493808294931</v>
      </c>
      <c r="BJ16" s="59">
        <f t="shared" si="38"/>
        <v>365.76175372075869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</v>
      </c>
      <c r="N17" s="13">
        <f>IF('Données projet'!$A$36&gt;35,N16+M17-V16,IF(A17&lt;'Données projet'!$A$36,$K$205^A17,IF(A17='Données projet'!$A$36,'Données projet'!$B$36,N16+M17-V16)))</f>
        <v>47.722851206524417</v>
      </c>
      <c r="O17" s="13">
        <f>N17*VLOOKUP('Données projet'!$B$9,Paramètres!$A$1:$I$89,3,0)*VLOOKUP('Données projet'!$B$9,Paramètres!$A$1:$I$89,5,0)</f>
        <v>22.334294364653427</v>
      </c>
      <c r="P17" s="13">
        <f t="shared" si="33"/>
        <v>7.1697486759177922</v>
      </c>
      <c r="Q17" s="20">
        <f t="shared" si="2"/>
        <v>51.38620829566154</v>
      </c>
      <c r="R17" s="59">
        <f t="shared" si="0"/>
        <v>325.16398607343933</v>
      </c>
      <c r="S17" s="59">
        <f ca="1">AVERAGE(OFFSET($R$3,0,0,'Données projet'!$E$9+1,1))-AVERAGE(OFFSET($H$3,0,0,'Données projet'!$E$9+1,1))</f>
        <v>345.45636360520137</v>
      </c>
      <c r="T17" s="59">
        <f t="shared" si="34"/>
        <v>469.30074822262549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14.4</v>
      </c>
      <c r="BD17" s="12">
        <f>IF('Données projet'!$A$88&gt;35,BD16+BC17-BL16,IF(A17&lt;'Données projet'!$A$88,$BA$205^A17,IF(A17='Données projet'!$A$88,'Données projet'!$B$88,BD16+BC17-BL16)))</f>
        <v>69.599999999999994</v>
      </c>
      <c r="BE17" s="13">
        <f>BD17*VLOOKUP('Données projet'!$B$11,Paramètres!$A$1:$I$89,3,0)*VLOOKUP('Données projet'!$B$11,Paramètres!$A$1:$I$89,5,0)</f>
        <v>51.030719999999995</v>
      </c>
      <c r="BF17" s="13">
        <f t="shared" si="37"/>
        <v>14.879630660597618</v>
      </c>
      <c r="BG17" s="20">
        <f t="shared" si="7"/>
        <v>114.79386073387417</v>
      </c>
      <c r="BH17" s="59">
        <f t="shared" si="8"/>
        <v>388.57163851165194</v>
      </c>
      <c r="BI17" s="59">
        <f ca="1">AVERAGE(OFFSET($BH$3,0,0,'Données projet'!$E$11+1,1))-AVERAGE(OFFSET($H$3,0,0,'Données projet'!$E$11+1,1))</f>
        <v>254.00493808294931</v>
      </c>
      <c r="BJ17" s="59">
        <f t="shared" si="38"/>
        <v>365.76175372075869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</v>
      </c>
      <c r="N18" s="13">
        <f>IF('Données projet'!$A$36&gt;35,N17+M18-V17,IF(A18&lt;'Données projet'!$A$36,$K$205^A18,IF(A18='Données projet'!$A$36,'Données projet'!$B$36,N17+M18-V17)))</f>
        <v>62.897793461013542</v>
      </c>
      <c r="O18" s="13">
        <f>N18*VLOOKUP('Données projet'!$B$9,Paramètres!$A$1:$I$89,3,0)*VLOOKUP('Données projet'!$B$9,Paramètres!$A$1:$I$89,5,0)</f>
        <v>29.436167339754334</v>
      </c>
      <c r="P18" s="13">
        <f t="shared" si="33"/>
        <v>9.1507259476872189</v>
      </c>
      <c r="Q18" s="20">
        <f t="shared" si="2"/>
        <v>67.205505808960694</v>
      </c>
      <c r="R18" s="59">
        <f t="shared" si="0"/>
        <v>342.20550580896071</v>
      </c>
      <c r="S18" s="59">
        <f ca="1">AVERAGE(OFFSET($R$3,0,0,'Données projet'!$E$9+1,1))-AVERAGE(OFFSET($H$3,0,0,'Données projet'!$E$9+1,1))</f>
        <v>345.45636360520137</v>
      </c>
      <c r="T18" s="59">
        <f t="shared" si="34"/>
        <v>469.30074822262549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84</v>
      </c>
      <c r="BB18" s="12">
        <f>VLOOKUP(A18,'Données projet'!$A$87:$I$107,9,0)</f>
        <v>14.4</v>
      </c>
      <c r="BC18" s="12">
        <f t="array" ref="BC18">INDEX(BB:BB,MIN(IF(ISNUMBER(BB18:BB214),ROW(BB18:BB214),"")))</f>
        <v>14.4</v>
      </c>
      <c r="BD18" s="12">
        <f>IF('Données projet'!$A$88&gt;35,BD17+BC18-BL17,IF(A18&lt;'Données projet'!$A$88,$BA$205^A18,IF(A18='Données projet'!$A$88,'Données projet'!$B$88,BD17+BC18-BL17)))</f>
        <v>84</v>
      </c>
      <c r="BE18" s="13">
        <f>BD18*VLOOKUP('Données projet'!$B$11,Paramètres!$A$1:$I$89,3,0)*VLOOKUP('Données projet'!$B$11,Paramètres!$A$1:$I$89,5,0)</f>
        <v>61.588799999999999</v>
      </c>
      <c r="BF18" s="13">
        <f t="shared" si="37"/>
        <v>17.56935444538782</v>
      </c>
      <c r="BG18" s="20">
        <f t="shared" si="7"/>
        <v>137.86711899238378</v>
      </c>
      <c r="BH18" s="59">
        <f t="shared" si="8"/>
        <v>412.86711899238378</v>
      </c>
      <c r="BI18" s="59">
        <f ca="1">AVERAGE(OFFSET($BH$3,0,0,'Données projet'!$E$11+1,1))-AVERAGE(OFFSET($H$3,0,0,'Données projet'!$E$11+1,1))</f>
        <v>254.00493808294931</v>
      </c>
      <c r="BJ18" s="59">
        <f t="shared" si="38"/>
        <v>365.76175372075869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42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</v>
      </c>
      <c r="N19" s="13">
        <f>IF('Données projet'!$A$36&gt;35,N18+M19-V18,IF(A19&lt;'Données projet'!$A$36,$K$205^A19,IF(A19='Données projet'!$A$36,'Données projet'!$B$36,N18+M19-V18)))</f>
        <v>82.898073401856081</v>
      </c>
      <c r="O19" s="13">
        <f>N19*VLOOKUP('Données projet'!$B$9,Paramètres!$A$1:$I$89,3,0)*VLOOKUP('Données projet'!$B$9,Paramètres!$A$1:$I$89,5,0)</f>
        <v>38.796298352068646</v>
      </c>
      <c r="P19" s="13">
        <f t="shared" si="33"/>
        <v>11.679040529123872</v>
      </c>
      <c r="Q19" s="20">
        <f t="shared" si="2"/>
        <v>87.911215218076961</v>
      </c>
      <c r="R19" s="59">
        <f t="shared" si="0"/>
        <v>364.13343744029919</v>
      </c>
      <c r="S19" s="59">
        <f ca="1">AVERAGE(OFFSET($R$3,0,0,'Données projet'!$E$9+1,1))-AVERAGE(OFFSET($H$3,0,0,'Données projet'!$E$9+1,1))</f>
        <v>345.45636360520137</v>
      </c>
      <c r="T19" s="59">
        <f t="shared" si="34"/>
        <v>469.30074822262549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16.2</v>
      </c>
      <c r="BD19" s="12">
        <f>IF('Données projet'!$A$88&gt;35,BD18+BC19-BL18,IF(A19&lt;'Données projet'!$A$88,$BA$205^A19,IF(A19='Données projet'!$A$88,'Données projet'!$B$88,BD18+BC19-BL18)))</f>
        <v>58.2</v>
      </c>
      <c r="BE19" s="13">
        <f>BD19*VLOOKUP('Données projet'!$B$11,Paramètres!$A$1:$I$89,3,0)*VLOOKUP('Données projet'!$B$11,Paramètres!$A$1:$I$89,5,0)</f>
        <v>42.672240000000002</v>
      </c>
      <c r="BF19" s="13">
        <f t="shared" si="37"/>
        <v>12.704236692203963</v>
      </c>
      <c r="BG19" s="20">
        <f t="shared" si="7"/>
        <v>96.447363572255242</v>
      </c>
      <c r="BH19" s="59">
        <f t="shared" si="8"/>
        <v>372.66958579447748</v>
      </c>
      <c r="BI19" s="59">
        <f ca="1">AVERAGE(OFFSET($BH$3,0,0,'Données projet'!$E$11+1,1))-AVERAGE(OFFSET($H$3,0,0,'Données projet'!$E$11+1,1))</f>
        <v>254.00493808294931</v>
      </c>
      <c r="BJ19" s="59">
        <f t="shared" si="38"/>
        <v>365.76175372075869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</v>
      </c>
      <c r="N20" s="13">
        <f>IF('Données projet'!$A$36&gt;35,N19+M20-V19,IF(A20&lt;'Données projet'!$A$36,$K$205^A20,IF(A20='Données projet'!$A$36,'Données projet'!$B$36,N19+M20-V19)))</f>
        <v>109.25805494272393</v>
      </c>
      <c r="O20" s="13">
        <f>N20*VLOOKUP('Données projet'!$B$9,Paramètres!$A$1:$I$89,3,0)*VLOOKUP('Données projet'!$B$9,Paramètres!$A$1:$I$89,5,0)</f>
        <v>51.132769713194797</v>
      </c>
      <c r="P20" s="13">
        <f t="shared" si="33"/>
        <v>14.905919864794134</v>
      </c>
      <c r="Q20" s="20">
        <f t="shared" si="2"/>
        <v>115.01738434833072</v>
      </c>
      <c r="R20" s="59">
        <f t="shared" si="0"/>
        <v>392.46182879277518</v>
      </c>
      <c r="S20" s="59">
        <f ca="1">AVERAGE(OFFSET($R$3,0,0,'Données projet'!$E$9+1,1))-AVERAGE(OFFSET($H$3,0,0,'Données projet'!$E$9+1,1))</f>
        <v>345.45636360520137</v>
      </c>
      <c r="T20" s="59">
        <f t="shared" si="34"/>
        <v>469.30074822262549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16.2</v>
      </c>
      <c r="BD20" s="12">
        <f>IF('Données projet'!$A$88&gt;35,BD19+BC20-BL19,IF(A20&lt;'Données projet'!$A$88,$BA$205^A20,IF(A20='Données projet'!$A$88,'Données projet'!$B$88,BD19+BC20-BL19)))</f>
        <v>74.400000000000006</v>
      </c>
      <c r="BE20" s="13">
        <f>BD20*VLOOKUP('Données projet'!$B$11,Paramètres!$A$1:$I$89,3,0)*VLOOKUP('Données projet'!$B$11,Paramètres!$A$1:$I$89,5,0)</f>
        <v>54.550080000000008</v>
      </c>
      <c r="BF20" s="13">
        <f t="shared" si="37"/>
        <v>15.782815260920124</v>
      </c>
      <c r="BG20" s="20">
        <f t="shared" si="7"/>
        <v>122.49645924610256</v>
      </c>
      <c r="BH20" s="59">
        <f t="shared" si="8"/>
        <v>399.94090369054703</v>
      </c>
      <c r="BI20" s="59">
        <f ca="1">AVERAGE(OFFSET($BH$3,0,0,'Données projet'!$E$11+1,1))-AVERAGE(OFFSET($H$3,0,0,'Données projet'!$E$11+1,1))</f>
        <v>254.00493808294931</v>
      </c>
      <c r="BJ20" s="59">
        <f t="shared" si="38"/>
        <v>365.76175372075869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144</v>
      </c>
      <c r="L21" s="12">
        <f>VLOOKUP(A21,'Données projet'!$A$35:$I$55,9,0)</f>
        <v>8</v>
      </c>
      <c r="M21" s="12">
        <f t="array" ref="M21">INDEX(L:L,MIN(IF(ISNUMBER(L21:L217),ROW(L21:L217),"")))</f>
        <v>8</v>
      </c>
      <c r="N21" s="13">
        <f>IF('Données projet'!$A$36&gt;35,N20+M21-V20,IF(A21&lt;'Données projet'!$A$36,$K$205^A21,IF(A21='Données projet'!$A$36,'Données projet'!$B$36,N20+M21-V20)))</f>
        <v>144</v>
      </c>
      <c r="O21" s="13">
        <f>N21*VLOOKUP('Données projet'!$B$9,Paramètres!$A$1:$I$89,3,0)*VLOOKUP('Données projet'!$B$9,Paramètres!$A$1:$I$89,5,0)</f>
        <v>67.391999999999996</v>
      </c>
      <c r="P21" s="13">
        <f t="shared" si="33"/>
        <v>19.02437502991798</v>
      </c>
      <c r="Q21" s="20">
        <f t="shared" si="2"/>
        <v>150.5085198437738</v>
      </c>
      <c r="R21" s="59">
        <f t="shared" si="0"/>
        <v>429.17518651044048</v>
      </c>
      <c r="S21" s="59">
        <f ca="1">AVERAGE(OFFSET($R$3,0,0,'Données projet'!$E$9+1,1))-AVERAGE(OFFSET($H$3,0,0,'Données projet'!$E$9+1,1))</f>
        <v>345.45636360520137</v>
      </c>
      <c r="T21" s="59">
        <f t="shared" si="34"/>
        <v>469.30074822262549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48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16.2</v>
      </c>
      <c r="BD21" s="12">
        <f>IF('Données projet'!$A$88&gt;35,BD20+BC21-BL20,IF(A21&lt;'Données projet'!$A$88,$BA$205^A21,IF(A21='Données projet'!$A$88,'Données projet'!$B$88,BD20+BC21-BL20)))</f>
        <v>90.600000000000009</v>
      </c>
      <c r="BE21" s="13">
        <f>BD21*VLOOKUP('Données projet'!$B$11,Paramètres!$A$1:$I$89,3,0)*VLOOKUP('Données projet'!$B$11,Paramètres!$A$1:$I$89,5,0)</f>
        <v>66.42792</v>
      </c>
      <c r="BF21" s="13">
        <f t="shared" si="37"/>
        <v>18.783698241275044</v>
      </c>
      <c r="BG21" s="20">
        <f t="shared" si="7"/>
        <v>148.41023510355402</v>
      </c>
      <c r="BH21" s="59">
        <f t="shared" si="8"/>
        <v>427.07690177022073</v>
      </c>
      <c r="BI21" s="59">
        <f ca="1">AVERAGE(OFFSET($BH$3,0,0,'Données projet'!$E$11+1,1))-AVERAGE(OFFSET($H$3,0,0,'Données projet'!$E$11+1,1))</f>
        <v>254.00493808294931</v>
      </c>
      <c r="BJ21" s="59">
        <f t="shared" si="38"/>
        <v>365.76175372075869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35</v>
      </c>
      <c r="N22" s="13">
        <f>IF('Données projet'!$A$36&gt;35,N21+M22-V21,IF(A22&lt;'Données projet'!$A$36,$K$205^A22,IF(A22='Données projet'!$A$36,'Données projet'!$B$36,N21+M22-V21)))</f>
        <v>131</v>
      </c>
      <c r="O22" s="13">
        <f>N22*VLOOKUP('Données projet'!$B$9,Paramètres!$A$1:$I$89,3,0)*VLOOKUP('Données projet'!$B$9,Paramètres!$A$1:$I$89,5,0)</f>
        <v>61.308</v>
      </c>
      <c r="P22" s="13">
        <f t="shared" si="33"/>
        <v>17.498556232826882</v>
      </c>
      <c r="Q22" s="20">
        <f t="shared" si="2"/>
        <v>137.25475210550681</v>
      </c>
      <c r="R22" s="59">
        <f t="shared" si="0"/>
        <v>417.1436409943957</v>
      </c>
      <c r="S22" s="59">
        <f ca="1">AVERAGE(OFFSET($R$3,0,0,'Données projet'!$E$9+1,1))-AVERAGE(OFFSET($H$3,0,0,'Données projet'!$E$9+1,1))</f>
        <v>345.45636360520137</v>
      </c>
      <c r="T22" s="59">
        <f t="shared" si="34"/>
        <v>469.30074822262549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16.2</v>
      </c>
      <c r="BD22" s="12">
        <f>IF('Données projet'!$A$88&gt;35,BD21+BC22-BL21,IF(A22&lt;'Données projet'!$A$88,$BA$205^A22,IF(A22='Données projet'!$A$88,'Données projet'!$B$88,BD21+BC22-BL21)))</f>
        <v>106.80000000000001</v>
      </c>
      <c r="BE22" s="13">
        <f>BD22*VLOOKUP('Données projet'!$B$11,Paramètres!$A$1:$I$89,3,0)*VLOOKUP('Données projet'!$B$11,Paramètres!$A$1:$I$89,5,0)</f>
        <v>78.305760000000006</v>
      </c>
      <c r="BF22" s="13">
        <f t="shared" si="37"/>
        <v>21.722418982737217</v>
      </c>
      <c r="BG22" s="20">
        <f t="shared" si="7"/>
        <v>174.21574506160064</v>
      </c>
      <c r="BH22" s="59">
        <f t="shared" si="8"/>
        <v>454.10463395048953</v>
      </c>
      <c r="BI22" s="59">
        <f ca="1">AVERAGE(OFFSET($BH$3,0,0,'Données projet'!$E$11+1,1))-AVERAGE(OFFSET($H$3,0,0,'Données projet'!$E$11+1,1))</f>
        <v>254.00493808294931</v>
      </c>
      <c r="BJ22" s="59">
        <f t="shared" si="38"/>
        <v>365.76175372075869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35</v>
      </c>
      <c r="N23" s="13">
        <f>IF('Données projet'!$A$36&gt;35,N22+M23-V22,IF(A23&lt;'Données projet'!$A$36,$K$205^A23,IF(A23='Données projet'!$A$36,'Données projet'!$B$36,N22+M23-V22)))</f>
        <v>166</v>
      </c>
      <c r="O23" s="13">
        <f>N23*VLOOKUP('Données projet'!$B$9,Paramètres!$A$1:$I$89,3,0)*VLOOKUP('Données projet'!$B$9,Paramètres!$A$1:$I$89,5,0)</f>
        <v>77.688000000000002</v>
      </c>
      <c r="P23" s="13">
        <f t="shared" si="33"/>
        <v>21.570926907728207</v>
      </c>
      <c r="Q23" s="20">
        <f t="shared" si="2"/>
        <v>172.87596436429328</v>
      </c>
      <c r="R23" s="59">
        <f t="shared" si="0"/>
        <v>453.98707547540442</v>
      </c>
      <c r="S23" s="59">
        <f ca="1">AVERAGE(OFFSET($R$3,0,0,'Données projet'!$E$9+1,1))-AVERAGE(OFFSET($H$3,0,0,'Données projet'!$E$9+1,1))</f>
        <v>345.45636360520137</v>
      </c>
      <c r="T23" s="59">
        <f t="shared" si="34"/>
        <v>469.30074822262549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123</v>
      </c>
      <c r="BB23" s="12">
        <f>VLOOKUP(A23,'Données projet'!$A$87:$I$107,9,0)</f>
        <v>16.2</v>
      </c>
      <c r="BC23" s="12">
        <f t="array" ref="BC23">INDEX(BB:BB,MIN(IF(ISNUMBER(BB23:BB219),ROW(BB23:BB219),"")))</f>
        <v>16.2</v>
      </c>
      <c r="BD23" s="12">
        <f>IF('Données projet'!$A$88&gt;35,BD22+BC23-BL22,IF(A23&lt;'Données projet'!$A$88,$BA$205^A23,IF(A23='Données projet'!$A$88,'Données projet'!$B$88,BD22+BC23-BL22)))</f>
        <v>123.00000000000001</v>
      </c>
      <c r="BE23" s="13">
        <f>BD23*VLOOKUP('Données projet'!$B$11,Paramètres!$A$1:$I$89,3,0)*VLOOKUP('Données projet'!$B$11,Paramètres!$A$1:$I$89,5,0)</f>
        <v>90.183600000000013</v>
      </c>
      <c r="BF23" s="13">
        <f t="shared" si="37"/>
        <v>24.609499639553789</v>
      </c>
      <c r="BG23" s="20">
        <f t="shared" si="7"/>
        <v>199.93131520555619</v>
      </c>
      <c r="BH23" s="59">
        <f t="shared" si="8"/>
        <v>481.04242631666733</v>
      </c>
      <c r="BI23" s="59">
        <f ca="1">AVERAGE(OFFSET($BH$3,0,0,'Données projet'!$E$11+1,1))-AVERAGE(OFFSET($H$3,0,0,'Données projet'!$E$11+1,1))</f>
        <v>254.00493808294931</v>
      </c>
      <c r="BJ23" s="59">
        <f t="shared" si="38"/>
        <v>365.76175372075869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201</v>
      </c>
      <c r="L24" s="12">
        <f>VLOOKUP(A24,'Données projet'!$A$35:$I$55,9,0)</f>
        <v>35</v>
      </c>
      <c r="M24" s="12">
        <f t="array" ref="M24">INDEX(L:L,MIN(IF(ISNUMBER(L24:L220),ROW(L24:L220),"")))</f>
        <v>35</v>
      </c>
      <c r="N24" s="13">
        <f>IF('Données projet'!$A$36&gt;35,N23+M24-V23,IF(A24&lt;'Données projet'!$A$36,$K$205^A24,IF(A24='Données projet'!$A$36,'Données projet'!$B$36,N23+M24-V23)))</f>
        <v>201</v>
      </c>
      <c r="O24" s="13">
        <f>N24*VLOOKUP('Données projet'!$B$9,Paramètres!$A$1:$I$89,3,0)*VLOOKUP('Données projet'!$B$9,Paramètres!$A$1:$I$89,5,0)</f>
        <v>94.067999999999998</v>
      </c>
      <c r="P24" s="13">
        <f t="shared" si="33"/>
        <v>25.543790108694029</v>
      </c>
      <c r="Q24" s="20">
        <f t="shared" si="2"/>
        <v>208.32386777264207</v>
      </c>
      <c r="R24" s="59">
        <f t="shared" si="0"/>
        <v>490.65720110597539</v>
      </c>
      <c r="S24" s="59">
        <f ca="1">AVERAGE(OFFSET($R$3,0,0,'Données projet'!$E$9+1,1))-AVERAGE(OFFSET($H$3,0,0,'Données projet'!$E$9+1,1))</f>
        <v>345.45636360520137</v>
      </c>
      <c r="T24" s="59">
        <f t="shared" si="34"/>
        <v>469.30074822262549</v>
      </c>
      <c r="U24" s="15">
        <f>IF(ISNA(VLOOKUP(A24,'Données projet'!$A$35:$I$55,3,0)),0,VLOOKUP(A24,'Données projet'!$A$35:$I$55,3,0))</f>
        <v>2</v>
      </c>
      <c r="V24" s="15">
        <f>IF(ISNA(VLOOKUP(A24,'Données projet'!$A$35:$I$55,4,0)),0,VLOOKUP(A24,'Données projet'!$A$35:$I$55,4,0))</f>
        <v>45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97.800000000000011</v>
      </c>
      <c r="BE24" s="13">
        <f>BD24*VLOOKUP('Données projet'!$B$11,Paramètres!$A$1:$I$89,3,0)*VLOOKUP('Données projet'!$B$11,Paramètres!$A$1:$I$89,5,0)</f>
        <v>71.706960000000009</v>
      </c>
      <c r="BF24" s="13">
        <f t="shared" si="37"/>
        <v>20.096759687088312</v>
      </c>
      <c r="BG24" s="20">
        <f t="shared" si="7"/>
        <v>159.89147845501216</v>
      </c>
      <c r="BH24" s="59">
        <f t="shared" si="8"/>
        <v>442.22481178834551</v>
      </c>
      <c r="BI24" s="59">
        <f ca="1">AVERAGE(OFFSET($BH$3,0,0,'Données projet'!$E$11+1,1))-AVERAGE(OFFSET($H$3,0,0,'Données projet'!$E$11+1,1))</f>
        <v>254.00493808294931</v>
      </c>
      <c r="BJ24" s="59">
        <f t="shared" si="38"/>
        <v>365.76175372075869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41.666666666666664</v>
      </c>
      <c r="N25" s="13">
        <f>IF('Données projet'!$A$36&gt;35,N24+M25-V24,IF(A25&lt;'Données projet'!$A$36,$K$205^A25,IF(A25='Données projet'!$A$36,'Données projet'!$B$36,N24+M25-V24)))</f>
        <v>197.66666666666666</v>
      </c>
      <c r="O25" s="13">
        <f>N25*VLOOKUP('Données projet'!$B$9,Paramètres!$A$1:$I$89,3,0)*VLOOKUP('Données projet'!$B$9,Paramètres!$A$1:$I$89,5,0)</f>
        <v>92.507999999999996</v>
      </c>
      <c r="P25" s="13">
        <f t="shared" si="33"/>
        <v>25.1691232259789</v>
      </c>
      <c r="Q25" s="20">
        <f t="shared" si="2"/>
        <v>204.95432295191324</v>
      </c>
      <c r="R25" s="59">
        <f t="shared" si="0"/>
        <v>488.50987850746878</v>
      </c>
      <c r="S25" s="59">
        <f ca="1">AVERAGE(OFFSET($R$3,0,0,'Données projet'!$E$9+1,1))-AVERAGE(OFFSET($H$3,0,0,'Données projet'!$E$9+1,1))</f>
        <v>345.45636360520137</v>
      </c>
      <c r="T25" s="59">
        <f t="shared" si="34"/>
        <v>469.30074822262549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114.60000000000001</v>
      </c>
      <c r="BE25" s="13">
        <f>BD25*VLOOKUP('Données projet'!$B$11,Paramètres!$A$1:$I$89,3,0)*VLOOKUP('Données projet'!$B$11,Paramètres!$A$1:$I$89,5,0)</f>
        <v>84.024720000000002</v>
      </c>
      <c r="BF25" s="13">
        <f t="shared" si="37"/>
        <v>23.11842031654454</v>
      </c>
      <c r="BG25" s="20">
        <f t="shared" si="7"/>
        <v>186.6076360513151</v>
      </c>
      <c r="BH25" s="59">
        <f t="shared" si="8"/>
        <v>470.16319160687067</v>
      </c>
      <c r="BI25" s="59">
        <f ca="1">AVERAGE(OFFSET($BH$3,0,0,'Données projet'!$E$11+1,1))-AVERAGE(OFFSET($H$3,0,0,'Données projet'!$E$11+1,1))</f>
        <v>254.00493808294931</v>
      </c>
      <c r="BJ25" s="59">
        <f t="shared" si="38"/>
        <v>365.76175372075869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41.666666666666664</v>
      </c>
      <c r="N26" s="13">
        <f>IF('Données projet'!$A$36&gt;35,N25+M26-V25,IF(A26&lt;'Données projet'!$A$36,$K$205^A26,IF(A26='Données projet'!$A$36,'Données projet'!$B$36,N25+M26-V25)))</f>
        <v>239.33333333333331</v>
      </c>
      <c r="O26" s="13">
        <f>N26*VLOOKUP('Données projet'!$B$9,Paramètres!$A$1:$I$89,3,0)*VLOOKUP('Données projet'!$B$9,Paramètres!$A$1:$I$89,5,0)</f>
        <v>112.008</v>
      </c>
      <c r="P26" s="13">
        <f t="shared" si="33"/>
        <v>29.803585787381248</v>
      </c>
      <c r="Q26" s="20">
        <f t="shared" si="2"/>
        <v>246.98851191302231</v>
      </c>
      <c r="R26" s="59">
        <f t="shared" si="0"/>
        <v>531.76628969080002</v>
      </c>
      <c r="S26" s="59">
        <f ca="1">AVERAGE(OFFSET($R$3,0,0,'Données projet'!$E$9+1,1))-AVERAGE(OFFSET($H$3,0,0,'Données projet'!$E$9+1,1))</f>
        <v>345.45636360520137</v>
      </c>
      <c r="T26" s="59">
        <f t="shared" si="34"/>
        <v>469.30074822262549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131.4</v>
      </c>
      <c r="BE26" s="13">
        <f>BD26*VLOOKUP('Données projet'!$B$11,Paramètres!$A$1:$I$89,3,0)*VLOOKUP('Données projet'!$B$11,Paramètres!$A$1:$I$89,5,0)</f>
        <v>96.342480000000009</v>
      </c>
      <c r="BF26" s="13">
        <f t="shared" si="37"/>
        <v>26.088763268244669</v>
      </c>
      <c r="BG26" s="20">
        <f t="shared" si="7"/>
        <v>213.23441535885948</v>
      </c>
      <c r="BH26" s="59">
        <f t="shared" si="8"/>
        <v>498.01219313663728</v>
      </c>
      <c r="BI26" s="59">
        <f ca="1">AVERAGE(OFFSET($BH$3,0,0,'Données projet'!$E$11+1,1))-AVERAGE(OFFSET($H$3,0,0,'Données projet'!$E$11+1,1))</f>
        <v>254.00493808294931</v>
      </c>
      <c r="BJ26" s="59">
        <f t="shared" si="38"/>
        <v>365.76175372075869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281</v>
      </c>
      <c r="L27" s="12">
        <f>VLOOKUP(A27,'Données projet'!$A$35:$I$55,9,0)</f>
        <v>41.666666666666664</v>
      </c>
      <c r="M27" s="12">
        <f t="array" ref="M27">INDEX(L:L,MIN(IF(ISNUMBER(L27:L223),ROW(L27:L223),"")))</f>
        <v>41.666666666666664</v>
      </c>
      <c r="N27" s="13">
        <f>IF('Données projet'!$A$36&gt;35,N26+M27-V26,IF(A27&lt;'Données projet'!$A$36,$K$205^A27,IF(A27='Données projet'!$A$36,'Données projet'!$B$36,N26+M27-V26)))</f>
        <v>281</v>
      </c>
      <c r="O27" s="13">
        <f>N27*VLOOKUP('Données projet'!$B$9,Paramètres!$A$1:$I$89,3,0)*VLOOKUP('Données projet'!$B$9,Paramètres!$A$1:$I$89,5,0)</f>
        <v>131.50800000000001</v>
      </c>
      <c r="P27" s="13">
        <f t="shared" si="33"/>
        <v>34.344579617082509</v>
      </c>
      <c r="Q27" s="20">
        <f t="shared" si="2"/>
        <v>288.85990949975201</v>
      </c>
      <c r="R27" s="59">
        <f t="shared" si="0"/>
        <v>574.85990949975201</v>
      </c>
      <c r="S27" s="59">
        <f ca="1">AVERAGE(OFFSET($R$3,0,0,'Données projet'!$E$9+1,1))-AVERAGE(OFFSET($H$3,0,0,'Données projet'!$E$9+1,1))</f>
        <v>345.45636360520137</v>
      </c>
      <c r="T27" s="59">
        <f t="shared" si="34"/>
        <v>469.30074822262549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50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0.44000000000000006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13.604529671830363</v>
      </c>
      <c r="AB27" s="21">
        <f>EXP(-LN(2)/2)*AB26+(1-EXP(-LN(2)/2))/(LN(2)/2)*V27*Y27*VLOOKUP('Données projet'!$B$9,Paramètres!$A$1:$I$89,3,0)*0.475*44/12</f>
        <v>0</v>
      </c>
      <c r="AC27" s="22">
        <f t="shared" si="3"/>
        <v>13.604529671830363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148.20000000000002</v>
      </c>
      <c r="BE27" s="13">
        <f>BD27*VLOOKUP('Données projet'!$B$11,Paramètres!$A$1:$I$89,3,0)*VLOOKUP('Données projet'!$B$11,Paramètres!$A$1:$I$89,5,0)</f>
        <v>108.66024000000002</v>
      </c>
      <c r="BF27" s="13">
        <f t="shared" si="37"/>
        <v>29.015101890437414</v>
      </c>
      <c r="BG27" s="20">
        <f t="shared" si="7"/>
        <v>239.78455379251184</v>
      </c>
      <c r="BH27" s="59">
        <f t="shared" si="8"/>
        <v>525.78455379251182</v>
      </c>
      <c r="BI27" s="59">
        <f ca="1">AVERAGE(OFFSET($BH$3,0,0,'Données projet'!$E$11+1,1))-AVERAGE(OFFSET($H$3,0,0,'Données projet'!$E$11+1,1))</f>
        <v>254.00493808294931</v>
      </c>
      <c r="BJ27" s="59">
        <f t="shared" si="38"/>
        <v>365.76175372075869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45.75</v>
      </c>
      <c r="N28" s="13">
        <f>IF('Données projet'!$A$36&gt;35,N27+M28-V27,IF(A28&lt;'Données projet'!$A$36,$K$205^A28,IF(A28='Données projet'!$A$36,'Données projet'!$B$36,N27+M28-V27)))</f>
        <v>276.75</v>
      </c>
      <c r="O28" s="13">
        <f>N28*VLOOKUP('Données projet'!$B$9,Paramètres!$A$1:$I$89,3,0)*VLOOKUP('Données projet'!$B$9,Paramètres!$A$1:$I$89,5,0)</f>
        <v>129.51900000000001</v>
      </c>
      <c r="P28" s="13">
        <f t="shared" si="33"/>
        <v>33.885190387878694</v>
      </c>
      <c r="Q28" s="20">
        <f t="shared" si="2"/>
        <v>284.59563159222211</v>
      </c>
      <c r="R28" s="59">
        <f t="shared" si="0"/>
        <v>571.81785381444433</v>
      </c>
      <c r="S28" s="59">
        <f ca="1">AVERAGE(OFFSET($R$3,0,0,'Données projet'!$E$9+1,1))-AVERAGE(OFFSET($H$3,0,0,'Données projet'!$E$9+1,1))</f>
        <v>345.45636360520137</v>
      </c>
      <c r="T28" s="59">
        <f t="shared" si="34"/>
        <v>469.30074822262549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13.232513092523041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13.232513092523041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165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165.00000000000003</v>
      </c>
      <c r="BE28" s="13">
        <f>BD28*VLOOKUP('Données projet'!$B$11,Paramètres!$A$1:$I$89,3,0)*VLOOKUP('Données projet'!$B$11,Paramètres!$A$1:$I$89,5,0)</f>
        <v>120.97800000000002</v>
      </c>
      <c r="BF28" s="13">
        <f t="shared" si="37"/>
        <v>31.902993864447531</v>
      </c>
      <c r="BG28" s="20">
        <f t="shared" si="7"/>
        <v>266.26773098057953</v>
      </c>
      <c r="BH28" s="59">
        <f t="shared" si="8"/>
        <v>553.48995320280176</v>
      </c>
      <c r="BI28" s="59">
        <f ca="1">AVERAGE(OFFSET($BH$3,0,0,'Données projet'!$E$11+1,1))-AVERAGE(OFFSET($H$3,0,0,'Données projet'!$E$11+1,1))</f>
        <v>254.00493808294931</v>
      </c>
      <c r="BJ28" s="59">
        <f t="shared" si="38"/>
        <v>365.76175372075869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45.75</v>
      </c>
      <c r="N29" s="13">
        <f>IF('Données projet'!$A$36&gt;35,N28+M29-V28,IF(A29&lt;'Données projet'!$A$36,$K$205^A29,IF(A29='Données projet'!$A$36,'Données projet'!$B$36,N28+M29-V28)))</f>
        <v>322.5</v>
      </c>
      <c r="O29" s="13">
        <f>N29*VLOOKUP('Données projet'!$B$9,Paramètres!$A$1:$I$89,3,0)*VLOOKUP('Données projet'!$B$9,Paramètres!$A$1:$I$89,5,0)</f>
        <v>150.93</v>
      </c>
      <c r="P29" s="13">
        <f t="shared" si="33"/>
        <v>38.789855371379076</v>
      </c>
      <c r="Q29" s="20">
        <f t="shared" si="2"/>
        <v>330.4287481051519</v>
      </c>
      <c r="R29" s="59">
        <f t="shared" si="0"/>
        <v>618.8731925495963</v>
      </c>
      <c r="S29" s="59">
        <f ca="1">AVERAGE(OFFSET($R$3,0,0,'Données projet'!$E$9+1,1))-AVERAGE(OFFSET($H$3,0,0,'Données projet'!$E$9+1,1))</f>
        <v>345.45636360520137</v>
      </c>
      <c r="T29" s="59">
        <f t="shared" si="34"/>
        <v>469.30074822262549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12.870669326140378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12.870669326140378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139.40000000000003</v>
      </c>
      <c r="BE29" s="13">
        <f>BD29*VLOOKUP('Données projet'!$B$11,Paramètres!$A$1:$I$89,3,0)*VLOOKUP('Données projet'!$B$11,Paramètres!$A$1:$I$89,5,0)</f>
        <v>102.20808000000002</v>
      </c>
      <c r="BF29" s="13">
        <f t="shared" si="37"/>
        <v>27.487371629246301</v>
      </c>
      <c r="BG29" s="20">
        <f t="shared" si="7"/>
        <v>225.88624492093732</v>
      </c>
      <c r="BH29" s="59">
        <f t="shared" si="8"/>
        <v>514.33068936538177</v>
      </c>
      <c r="BI29" s="59">
        <f ca="1">AVERAGE(OFFSET($BH$3,0,0,'Données projet'!$E$11+1,1))-AVERAGE(OFFSET($H$3,0,0,'Données projet'!$E$11+1,1))</f>
        <v>254.00493808294931</v>
      </c>
      <c r="BJ29" s="59">
        <f t="shared" si="38"/>
        <v>365.76175372075869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45.75</v>
      </c>
      <c r="N30" s="13">
        <f>IF('Données projet'!$A$36&gt;35,N29+M30-V29,IF(A30&lt;'Données projet'!$A$36,$K$205^A30,IF(A30='Données projet'!$A$36,'Données projet'!$B$36,N29+M30-V29)))</f>
        <v>368.25</v>
      </c>
      <c r="O30" s="13">
        <f>N30*VLOOKUP('Données projet'!$B$9,Paramètres!$A$1:$I$89,3,0)*VLOOKUP('Données projet'!$B$9,Paramètres!$A$1:$I$89,5,0)</f>
        <v>172.34100000000001</v>
      </c>
      <c r="P30" s="13">
        <f t="shared" si="33"/>
        <v>43.613911643991898</v>
      </c>
      <c r="Q30" s="20">
        <f t="shared" si="2"/>
        <v>376.12147111328591</v>
      </c>
      <c r="R30" s="59">
        <f t="shared" si="0"/>
        <v>665.78813777995265</v>
      </c>
      <c r="S30" s="59">
        <f ca="1">AVERAGE(OFFSET($R$3,0,0,'Données projet'!$E$9+1,1))-AVERAGE(OFFSET($H$3,0,0,'Données projet'!$E$9+1,1))</f>
        <v>345.45636360520137</v>
      </c>
      <c r="T30" s="59">
        <f t="shared" si="34"/>
        <v>469.30074822262549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12.518720196577986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12.518720196577986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155.80000000000004</v>
      </c>
      <c r="BE30" s="13">
        <f>BD30*VLOOKUP('Données projet'!$B$11,Paramètres!$A$1:$I$89,3,0)*VLOOKUP('Données projet'!$B$11,Paramètres!$A$1:$I$89,5,0)</f>
        <v>114.23256000000002</v>
      </c>
      <c r="BF30" s="13">
        <f t="shared" si="37"/>
        <v>30.326006869580301</v>
      </c>
      <c r="BG30" s="20">
        <f t="shared" si="7"/>
        <v>251.77283729785236</v>
      </c>
      <c r="BH30" s="59">
        <f t="shared" si="8"/>
        <v>541.43950396451908</v>
      </c>
      <c r="BI30" s="59">
        <f ca="1">AVERAGE(OFFSET($BH$3,0,0,'Données projet'!$E$11+1,1))-AVERAGE(OFFSET($H$3,0,0,'Données projet'!$E$11+1,1))</f>
        <v>254.00493808294931</v>
      </c>
      <c r="BJ30" s="59">
        <f t="shared" si="38"/>
        <v>365.76175372075869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414</v>
      </c>
      <c r="L31" s="12">
        <f>VLOOKUP(A31,'Données projet'!$A$35:$I$55,9,0)</f>
        <v>45.75</v>
      </c>
      <c r="M31" s="12">
        <f t="array" ref="M31">INDEX(L:L,MIN(IF(ISNUMBER(L31:L227),ROW(L31:L227),"")))</f>
        <v>45.75</v>
      </c>
      <c r="N31" s="13">
        <f>IF('Données projet'!$A$36&gt;35,N30+M31-V30,IF(A31&lt;'Données projet'!$A$36,$K$205^A31,IF(A31='Données projet'!$A$36,'Données projet'!$B$36,N30+M31-V30)))</f>
        <v>414</v>
      </c>
      <c r="O31" s="13">
        <f>N31*VLOOKUP('Données projet'!$B$9,Paramètres!$A$1:$I$89,3,0)*VLOOKUP('Données projet'!$B$9,Paramètres!$A$1:$I$89,5,0)</f>
        <v>193.75200000000001</v>
      </c>
      <c r="P31" s="13">
        <f t="shared" si="33"/>
        <v>48.368520355376113</v>
      </c>
      <c r="Q31" s="20">
        <f t="shared" si="2"/>
        <v>421.69323961894673</v>
      </c>
      <c r="R31" s="59">
        <f t="shared" si="0"/>
        <v>712.58212850783559</v>
      </c>
      <c r="S31" s="59">
        <f ca="1">AVERAGE(OFFSET($R$3,0,0,'Données projet'!$E$9+1,1))-AVERAGE(OFFSET($H$3,0,0,'Données projet'!$E$9+1,1))</f>
        <v>345.45636360520137</v>
      </c>
      <c r="T31" s="59">
        <f t="shared" si="34"/>
        <v>469.30074822262549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80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0.44000000000000006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33.943642609400264</v>
      </c>
      <c r="AB31" s="21">
        <f>EXP(-LN(2)/2)*AB30+(1-EXP(-LN(2)/2))/(LN(2)/2)*V31*Y31*VLOOKUP('Données projet'!$B$9,Paramètres!$A$1:$I$89,3,0)*0.475*44/12</f>
        <v>0</v>
      </c>
      <c r="AC31" s="22">
        <f t="shared" si="3"/>
        <v>33.943642609400264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172.20000000000005</v>
      </c>
      <c r="BE31" s="13">
        <f>BD31*VLOOKUP('Données projet'!$B$11,Paramètres!$A$1:$I$89,3,0)*VLOOKUP('Données projet'!$B$11,Paramètres!$A$1:$I$89,5,0)</f>
        <v>126.25704000000002</v>
      </c>
      <c r="BF31" s="13">
        <f t="shared" si="37"/>
        <v>33.130006114881255</v>
      </c>
      <c r="BG31" s="20">
        <f t="shared" si="7"/>
        <v>277.59910531675155</v>
      </c>
      <c r="BH31" s="59">
        <f t="shared" si="8"/>
        <v>568.48799420564046</v>
      </c>
      <c r="BI31" s="59">
        <f ca="1">AVERAGE(OFFSET($BH$3,0,0,'Données projet'!$E$11+1,1))-AVERAGE(OFFSET($H$3,0,0,'Données projet'!$E$11+1,1))</f>
        <v>254.00493808294931</v>
      </c>
      <c r="BJ31" s="59">
        <f t="shared" si="38"/>
        <v>365.76175372075869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45.5</v>
      </c>
      <c r="N32" s="13">
        <f>IF('Données projet'!$A$36&gt;35,N31+M32-V31,IF(A32&lt;'Données projet'!$A$36,$K$205^A32,IF(A32='Données projet'!$A$36,'Données projet'!$B$36,N31+M32-V31)))</f>
        <v>379.5</v>
      </c>
      <c r="O32" s="13">
        <f>N32*VLOOKUP('Données projet'!$B$9,Paramètres!$A$1:$I$89,3,0)*VLOOKUP('Données projet'!$B$9,Paramètres!$A$1:$I$89,5,0)</f>
        <v>177.60600000000002</v>
      </c>
      <c r="P32" s="13">
        <f t="shared" si="33"/>
        <v>44.789150937858665</v>
      </c>
      <c r="Q32" s="20">
        <f t="shared" si="2"/>
        <v>387.33822121677053</v>
      </c>
      <c r="R32" s="59">
        <f t="shared" si="0"/>
        <v>679.44933232788162</v>
      </c>
      <c r="S32" s="59">
        <f ca="1">AVERAGE(OFFSET($R$3,0,0,'Données projet'!$E$9+1,1))-AVERAGE(OFFSET($H$3,0,0,'Données projet'!$E$9+1,1))</f>
        <v>345.45636360520137</v>
      </c>
      <c r="T32" s="59">
        <f t="shared" si="34"/>
        <v>469.30074822262549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33.01545191722763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33.01545191722763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188.60000000000005</v>
      </c>
      <c r="BE32" s="13">
        <f>BD32*VLOOKUP('Données projet'!$B$11,Paramètres!$A$1:$I$89,3,0)*VLOOKUP('Données projet'!$B$11,Paramètres!$A$1:$I$89,5,0)</f>
        <v>138.28152000000003</v>
      </c>
      <c r="BF32" s="13">
        <f t="shared" si="37"/>
        <v>35.903043322174675</v>
      </c>
      <c r="BG32" s="20">
        <f t="shared" si="7"/>
        <v>303.37144778612094</v>
      </c>
      <c r="BH32" s="59">
        <f t="shared" si="8"/>
        <v>595.48255889723214</v>
      </c>
      <c r="BI32" s="59">
        <f ca="1">AVERAGE(OFFSET($BH$3,0,0,'Données projet'!$E$11+1,1))-AVERAGE(OFFSET($H$3,0,0,'Données projet'!$E$11+1,1))</f>
        <v>254.00493808294931</v>
      </c>
      <c r="BJ32" s="59">
        <f t="shared" si="38"/>
        <v>365.76175372075869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45.5</v>
      </c>
      <c r="N33" s="13">
        <f>IF('Données projet'!$A$36&gt;35,N32+M33-V32,IF(A33&lt;'Données projet'!$A$36,$K$205^A33,IF(A33='Données projet'!$A$36,'Données projet'!$B$36,N32+M33-V32)))</f>
        <v>425</v>
      </c>
      <c r="O33" s="13">
        <f>N33*VLOOKUP('Données projet'!$B$9,Paramètres!$A$1:$I$89,3,0)*VLOOKUP('Données projet'!$B$9,Paramètres!$A$1:$I$89,5,0)</f>
        <v>198.9</v>
      </c>
      <c r="P33" s="13">
        <f t="shared" si="33"/>
        <v>49.502343477105569</v>
      </c>
      <c r="Q33" s="20">
        <f t="shared" si="2"/>
        <v>432.63408155595886</v>
      </c>
      <c r="R33" s="59">
        <f t="shared" si="0"/>
        <v>725.96741488929217</v>
      </c>
      <c r="S33" s="59">
        <f ca="1">AVERAGE(OFFSET($R$3,0,0,'Données projet'!$E$9+1,1))-AVERAGE(OFFSET($H$3,0,0,'Données projet'!$E$9+1,1))</f>
        <v>345.45636360520137</v>
      </c>
      <c r="T33" s="59">
        <f t="shared" si="34"/>
        <v>469.30074822262549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32.112642648343879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32.112642648343879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205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205.00000000000006</v>
      </c>
      <c r="BE33" s="13">
        <f>BD33*VLOOKUP('Données projet'!$B$11,Paramètres!$A$1:$I$89,3,0)*VLOOKUP('Données projet'!$B$11,Paramètres!$A$1:$I$89,5,0)</f>
        <v>150.30600000000004</v>
      </c>
      <c r="BF33" s="13">
        <f t="shared" si="37"/>
        <v>38.648116968856677</v>
      </c>
      <c r="BG33" s="20">
        <f t="shared" si="7"/>
        <v>329.09508705409212</v>
      </c>
      <c r="BH33" s="59">
        <f t="shared" si="8"/>
        <v>622.42842038742538</v>
      </c>
      <c r="BI33" s="59">
        <f ca="1">AVERAGE(OFFSET($BH$3,0,0,'Données projet'!$E$11+1,1))-AVERAGE(OFFSET($H$3,0,0,'Données projet'!$E$11+1,1))</f>
        <v>254.00493808294931</v>
      </c>
      <c r="BJ33" s="59">
        <f t="shared" si="38"/>
        <v>365.76175372075869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0.34400000000000003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11.664441288932371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11.664441288932371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45.5</v>
      </c>
      <c r="N34" s="13">
        <f>IF('Données projet'!$A$36&gt;35,N33+M34-V33,IF(A34&lt;'Données projet'!$A$36,$K$205^A34,IF(A34='Données projet'!$A$36,'Données projet'!$B$36,N33+M34-V33)))</f>
        <v>470.5</v>
      </c>
      <c r="O34" s="13">
        <f>N34*VLOOKUP('Données projet'!$B$9,Paramètres!$A$1:$I$89,3,0)*VLOOKUP('Données projet'!$B$9,Paramètres!$A$1:$I$89,5,0)</f>
        <v>220.19399999999999</v>
      </c>
      <c r="P34" s="13">
        <f t="shared" si="33"/>
        <v>54.157048498807988</v>
      </c>
      <c r="Q34" s="20">
        <f t="shared" si="2"/>
        <v>477.82807613542383</v>
      </c>
      <c r="R34" s="59">
        <f t="shared" si="0"/>
        <v>771.16140946875714</v>
      </c>
      <c r="S34" s="59">
        <f ca="1">AVERAGE(OFFSET($R$3,0,0,'Données projet'!$E$9+1,1))-AVERAGE(OFFSET($H$3,0,0,'Données projet'!$E$9+1,1))</f>
        <v>345.45636360520137</v>
      </c>
      <c r="T34" s="59">
        <f t="shared" si="34"/>
        <v>469.30074822262549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31.234520746394434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31.234520746394434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15.2</v>
      </c>
      <c r="BD34" s="12">
        <f>IF('Données projet'!$A$88&gt;35,BD33+BC34-BL33,IF(A34&lt;'Données projet'!$A$88,$BA$205^A34,IF(A34='Données projet'!$A$88,'Données projet'!$B$88,BD33+BC34-BL33)))</f>
        <v>178.20000000000005</v>
      </c>
      <c r="BE34" s="13">
        <f>BD34*VLOOKUP('Données projet'!$B$11,Paramètres!$A$1:$I$89,3,0)*VLOOKUP('Données projet'!$B$11,Paramètres!$A$1:$I$89,5,0)</f>
        <v>130.65624000000003</v>
      </c>
      <c r="BF34" s="13">
        <f t="shared" si="37"/>
        <v>34.147952661921146</v>
      </c>
      <c r="BG34" s="20">
        <f t="shared" si="7"/>
        <v>287.03396888617937</v>
      </c>
      <c r="BH34" s="59">
        <f t="shared" si="8"/>
        <v>580.36730221951268</v>
      </c>
      <c r="BI34" s="59">
        <f ca="1">AVERAGE(OFFSET($BH$3,0,0,'Données projet'!$E$11+1,1))-AVERAGE(OFFSET($H$3,0,0,'Données projet'!$E$11+1,1))</f>
        <v>254.00493808294931</v>
      </c>
      <c r="BJ34" s="59">
        <f t="shared" si="38"/>
        <v>365.76175372075869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11.345476528480209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11.345476528480209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516</v>
      </c>
      <c r="L35" s="12">
        <f>VLOOKUP(A35,'Données projet'!$A$35:$I$55,9,0)</f>
        <v>45.5</v>
      </c>
      <c r="M35" s="12">
        <f t="array" ref="M35">INDEX(L:L,MIN(IF(ISNUMBER(L35:L231),ROW(L35:L231),"")))</f>
        <v>45.5</v>
      </c>
      <c r="N35" s="13">
        <f>IF('Données projet'!$A$36&gt;35,N34+M35-V34,IF(A35&lt;'Données projet'!$A$36,$K$205^A35,IF(A35='Données projet'!$A$36,'Données projet'!$B$36,N34+M35-V34)))</f>
        <v>516</v>
      </c>
      <c r="O35" s="13">
        <f>N35*VLOOKUP('Données projet'!$B$9,Paramètres!$A$1:$I$89,3,0)*VLOOKUP('Données projet'!$B$9,Paramètres!$A$1:$I$89,5,0)</f>
        <v>241.488</v>
      </c>
      <c r="P35" s="13">
        <f t="shared" si="33"/>
        <v>58.759565673424916</v>
      </c>
      <c r="Q35" s="20">
        <f t="shared" ref="Q35:Q66" si="53">(O35+P35)*0.475*44/12</f>
        <v>522.93117688121504</v>
      </c>
      <c r="R35" s="59">
        <f t="shared" si="0"/>
        <v>816.26451021454841</v>
      </c>
      <c r="S35" s="59">
        <f ca="1">AVERAGE(OFFSET($R$3,0,0,'Données projet'!$E$9+1,1))-AVERAGE(OFFSET($H$3,0,0,'Données projet'!$E$9+1,1))</f>
        <v>345.45636360520137</v>
      </c>
      <c r="T35" s="59">
        <f t="shared" si="34"/>
        <v>469.30074822262549</v>
      </c>
      <c r="U35" s="15">
        <f>IF(ISNA(VLOOKUP(A35,'Données projet'!$A$35:$I$55,3,0)),0,VLOOKUP(A35,'Données projet'!$A$35:$I$55,3,0))</f>
        <v>5</v>
      </c>
      <c r="V35" s="15">
        <f>IF(ISNA(VLOOKUP(A35,'Données projet'!$A$35:$I$55,4,0)),0,VLOOKUP(A35,'Données projet'!$A$35:$I$55,4,0))</f>
        <v>56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0.44000000000000006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45.617484366482223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45.617484366482223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15.2</v>
      </c>
      <c r="BD35" s="12">
        <f>IF('Données projet'!$A$88&gt;35,BD34+BC35-BL34,IF(A35&lt;'Données projet'!$A$88,$BA$205^A35,IF(A35='Données projet'!$A$88,'Données projet'!$B$88,BD34+BC35-BL34)))</f>
        <v>193.40000000000003</v>
      </c>
      <c r="BE35" s="13">
        <f>BD35*VLOOKUP('Données projet'!$B$11,Paramètres!$A$1:$I$89,3,0)*VLOOKUP('Données projet'!$B$11,Paramètres!$A$1:$I$89,5,0)</f>
        <v>141.80088000000003</v>
      </c>
      <c r="BF35" s="13">
        <f t="shared" si="37"/>
        <v>36.709254421801973</v>
      </c>
      <c r="BG35" s="20">
        <f t="shared" si="7"/>
        <v>310.90515078463847</v>
      </c>
      <c r="BH35" s="59">
        <f t="shared" si="8"/>
        <v>604.23848411797178</v>
      </c>
      <c r="BI35" s="59">
        <f ca="1">AVERAGE(OFFSET($BH$3,0,0,'Données projet'!$E$11+1,1))-AVERAGE(OFFSET($H$3,0,0,'Données projet'!$E$11+1,1))</f>
        <v>254.00493808294931</v>
      </c>
      <c r="BJ35" s="59">
        <f t="shared" si="38"/>
        <v>365.76175372075869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11.035233876176237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11.035233876176237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42</v>
      </c>
      <c r="N36" s="13">
        <f>IF('Données projet'!$A$36&gt;35,N35+M36-V35,IF(A36&lt;'Données projet'!$A$36,$K$205^A36,IF(A36='Données projet'!$A$36,'Données projet'!$B$36,N35+M36-V35)))</f>
        <v>502</v>
      </c>
      <c r="O36" s="13">
        <f>N36*VLOOKUP('Données projet'!$B$9,Paramètres!$A$1:$I$89,3,0)*VLOOKUP('Données projet'!$B$9,Paramètres!$A$1:$I$89,5,0)</f>
        <v>234.93600000000001</v>
      </c>
      <c r="P36" s="13">
        <f t="shared" si="33"/>
        <v>57.34863760662617</v>
      </c>
      <c r="Q36" s="20">
        <f t="shared" si="53"/>
        <v>509.06241049820727</v>
      </c>
      <c r="R36" s="59">
        <f t="shared" si="0"/>
        <v>802.39574383154059</v>
      </c>
      <c r="S36" s="59">
        <f ca="1">AVERAGE(OFFSET($R$3,0,0,'Données projet'!$E$9+1,1))-AVERAGE(OFFSET($H$3,0,0,'Données projet'!$E$9+1,1))</f>
        <v>345.45636360520137</v>
      </c>
      <c r="T36" s="59">
        <f t="shared" si="34"/>
        <v>469.30074822262549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44.370071857561527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44.370071857561527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15.2</v>
      </c>
      <c r="BD36" s="12">
        <f>IF('Données projet'!$A$88&gt;35,BD35+BC36-BL35,IF(A36&lt;'Données projet'!$A$88,$BA$205^A36,IF(A36='Données projet'!$A$88,'Données projet'!$B$88,BD35+BC36-BL35)))</f>
        <v>208.60000000000002</v>
      </c>
      <c r="BE36" s="13">
        <f>BD36*VLOOKUP('Données projet'!$B$11,Paramètres!$A$1:$I$89,3,0)*VLOOKUP('Données projet'!$B$11,Paramètres!$A$1:$I$89,5,0)</f>
        <v>152.94552000000002</v>
      </c>
      <c r="BF36" s="13">
        <f t="shared" si="37"/>
        <v>39.247206134585156</v>
      </c>
      <c r="BG36" s="20">
        <f t="shared" si="7"/>
        <v>334.73566468440248</v>
      </c>
      <c r="BH36" s="59">
        <f t="shared" si="8"/>
        <v>628.06899801773579</v>
      </c>
      <c r="BI36" s="59">
        <f ca="1">AVERAGE(OFFSET($BH$3,0,0,'Données projet'!$E$11+1,1))-AVERAGE(OFFSET($H$3,0,0,'Données projet'!$E$11+1,1))</f>
        <v>254.00493808294931</v>
      </c>
      <c r="BJ36" s="59">
        <f t="shared" si="38"/>
        <v>365.76175372075869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10.73347482551447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10.73347482551447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42</v>
      </c>
      <c r="N37" s="13">
        <f>IF('Données projet'!$A$36&gt;35,N36+M37-V36,IF(A37&lt;'Données projet'!$A$36,$K$205^A37,IF(A37='Données projet'!$A$36,'Données projet'!$B$36,N36+M37-V36)))</f>
        <v>544</v>
      </c>
      <c r="O37" s="13">
        <f>N37*VLOOKUP('Données projet'!$B$9,Paramètres!$A$1:$I$89,3,0)*VLOOKUP('Données projet'!$B$9,Paramètres!$A$1:$I$89,5,0)</f>
        <v>254.59200000000001</v>
      </c>
      <c r="P37" s="13">
        <f t="shared" si="33"/>
        <v>61.568204482621567</v>
      </c>
      <c r="Q37" s="20">
        <f t="shared" si="53"/>
        <v>550.64568947389932</v>
      </c>
      <c r="R37" s="59">
        <f t="shared" si="0"/>
        <v>843.9790228072327</v>
      </c>
      <c r="S37" s="59">
        <f ca="1">AVERAGE(OFFSET($R$3,0,0,'Données projet'!$E$9+1,1))-AVERAGE(OFFSET($H$3,0,0,'Données projet'!$E$9+1,1))</f>
        <v>345.45636360520137</v>
      </c>
      <c r="T37" s="59">
        <f t="shared" si="34"/>
        <v>469.30074822262549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43.156769909295839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43.156769909295839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15.2</v>
      </c>
      <c r="BD37" s="12">
        <f>IF('Données projet'!$A$88&gt;35,BD36+BC37-BL36,IF(A37&lt;'Données projet'!$A$88,$BA$205^A37,IF(A37='Données projet'!$A$88,'Données projet'!$B$88,BD36+BC37-BL36)))</f>
        <v>223.8</v>
      </c>
      <c r="BE37" s="13">
        <f>BD37*VLOOKUP('Données projet'!$B$11,Paramètres!$A$1:$I$89,3,0)*VLOOKUP('Données projet'!$B$11,Paramètres!$A$1:$I$89,5,0)</f>
        <v>164.09016</v>
      </c>
      <c r="BF37" s="13">
        <f t="shared" si="37"/>
        <v>41.763702733606458</v>
      </c>
      <c r="BG37" s="20">
        <f t="shared" si="7"/>
        <v>358.52881092769786</v>
      </c>
      <c r="BH37" s="59">
        <f t="shared" si="8"/>
        <v>651.86214426103118</v>
      </c>
      <c r="BI37" s="59">
        <f ca="1">AVERAGE(OFFSET($BH$3,0,0,'Données projet'!$E$11+1,1))-AVERAGE(OFFSET($H$3,0,0,'Données projet'!$E$11+1,1))</f>
        <v>254.00493808294931</v>
      </c>
      <c r="BJ37" s="59">
        <f t="shared" si="38"/>
        <v>365.76175372075869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10.439967391961869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10.439967391961869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42</v>
      </c>
      <c r="N38" s="13">
        <f>IF('Données projet'!$A$36&gt;35,N37+M38-V37,IF(A38&lt;'Données projet'!$A$36,$K$205^A38,IF(A38='Données projet'!$A$36,'Données projet'!$B$36,N37+M38-V37)))</f>
        <v>586</v>
      </c>
      <c r="O38" s="13">
        <f>N38*VLOOKUP('Données projet'!$B$9,Paramètres!$A$1:$I$89,3,0)*VLOOKUP('Données projet'!$B$9,Paramètres!$A$1:$I$89,5,0)</f>
        <v>274.24799999999999</v>
      </c>
      <c r="P38" s="13">
        <f t="shared" si="33"/>
        <v>65.749981378063481</v>
      </c>
      <c r="Q38" s="20">
        <f t="shared" si="53"/>
        <v>592.16315090012722</v>
      </c>
      <c r="R38" s="59">
        <f t="shared" si="0"/>
        <v>885.49648423346048</v>
      </c>
      <c r="S38" s="59">
        <f ca="1">AVERAGE(OFFSET($R$3,0,0,'Données projet'!$E$9+1,1))-AVERAGE(OFFSET($H$3,0,0,'Données projet'!$E$9+1,1))</f>
        <v>345.45636360520137</v>
      </c>
      <c r="T38" s="59">
        <f t="shared" si="34"/>
        <v>469.30074822262549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41.976645766610254</v>
      </c>
      <c r="AB38" s="21">
        <f>EXP(-LN(2)/2)*AB37+(1-EXP(-LN(2)/2))/(LN(2)/2)*V38*Y38*VLOOKUP('Données projet'!$B$9,Paramètres!$A$1:$I$89,3,0)*0.475*44/12</f>
        <v>0</v>
      </c>
      <c r="AC38" s="22">
        <f t="shared" si="3"/>
        <v>41.976645766610254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239</v>
      </c>
      <c r="BB38" s="12">
        <f>VLOOKUP(A38,'Données projet'!$A$87:$I$107,9,0)</f>
        <v>15.2</v>
      </c>
      <c r="BC38" s="12">
        <f t="array" ref="BC38">INDEX(BB:BB,MIN(IF(ISNUMBER(BB38:BB234),ROW(BB38:BB234),"")))</f>
        <v>15.2</v>
      </c>
      <c r="BD38" s="12">
        <f>IF('Données projet'!$A$88&gt;35,BD37+BC38-BL37,IF(A38&lt;'Données projet'!$A$88,$BA$205^A38,IF(A38='Données projet'!$A$88,'Données projet'!$B$88,BD37+BC38-BL37)))</f>
        <v>239</v>
      </c>
      <c r="BE38" s="13">
        <f>BD38*VLOOKUP('Données projet'!$B$11,Paramètres!$A$1:$I$89,3,0)*VLOOKUP('Données projet'!$B$11,Paramètres!$A$1:$I$89,5,0)</f>
        <v>175.23480000000001</v>
      </c>
      <c r="BF38" s="13">
        <f t="shared" si="37"/>
        <v>44.260367185241513</v>
      </c>
      <c r="BG38" s="20">
        <f t="shared" si="7"/>
        <v>382.28741618096228</v>
      </c>
      <c r="BH38" s="59">
        <f t="shared" si="8"/>
        <v>675.62074951429554</v>
      </c>
      <c r="BI38" s="59">
        <f ca="1">AVERAGE(OFFSET($BH$3,0,0,'Données projet'!$E$11+1,1))-AVERAGE(OFFSET($H$3,0,0,'Données projet'!$E$11+1,1))</f>
        <v>254.00493808294931</v>
      </c>
      <c r="BJ38" s="59">
        <f t="shared" si="38"/>
        <v>365.76175372075869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0.34400000000000003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21.818927223547018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21.818927223547018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628</v>
      </c>
      <c r="L39" s="12">
        <f>VLOOKUP(A39,'Données projet'!$A$35:$I$55,9,0)</f>
        <v>42</v>
      </c>
      <c r="M39" s="12">
        <f t="array" ref="M39">INDEX(L:L,MIN(IF(ISNUMBER(L39:L235),ROW(L39:L235),"")))</f>
        <v>42</v>
      </c>
      <c r="N39" s="13">
        <f>IF('Données projet'!$A$36&gt;35,N38+M39-V38,IF(A39&lt;'Données projet'!$A$36,$K$205^A39,IF(A39='Données projet'!$A$36,'Données projet'!$B$36,N38+M39-V38)))</f>
        <v>628</v>
      </c>
      <c r="O39" s="13">
        <f>N39*VLOOKUP('Données projet'!$B$9,Paramètres!$A$1:$I$89,3,0)*VLOOKUP('Données projet'!$B$9,Paramètres!$A$1:$I$89,5,0)</f>
        <v>293.904</v>
      </c>
      <c r="P39" s="13">
        <f t="shared" si="33"/>
        <v>69.896984831773324</v>
      </c>
      <c r="Q39" s="20">
        <f t="shared" si="53"/>
        <v>633.62004858200532</v>
      </c>
      <c r="R39" s="59">
        <f t="shared" si="0"/>
        <v>926.9533819153387</v>
      </c>
      <c r="S39" s="59">
        <f ca="1">AVERAGE(OFFSET($R$3,0,0,'Données projet'!$E$9+1,1))-AVERAGE(OFFSET($H$3,0,0,'Données projet'!$E$9+1,1))</f>
        <v>345.45636360520137</v>
      </c>
      <c r="T39" s="59">
        <f t="shared" si="34"/>
        <v>469.30074822262549</v>
      </c>
      <c r="U39" s="15">
        <f>IF(ISNA(VLOOKUP(A39,'Données projet'!$A$35:$I$55,3,0)),0,VLOOKUP(A39,'Données projet'!$A$35:$I$55,3,0))</f>
        <v>6</v>
      </c>
      <c r="V39" s="15">
        <f>IF(ISNA(VLOOKUP(A39,'Données projet'!$A$35:$I$55,4,0)),0,VLOOKUP(A39,'Données projet'!$A$35:$I$55,4,0))</f>
        <v>78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0.44000000000000006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62.051858468721797</v>
      </c>
      <c r="AB39" s="21">
        <f>EXP(-LN(2)/2)*AB38+(1-EXP(-LN(2)/2))/(LN(2)/2)*V39*Y39*VLOOKUP('Données projet'!$B$9,Paramètres!$A$1:$I$89,3,0)*0.475*44/12</f>
        <v>0</v>
      </c>
      <c r="AC39" s="22">
        <f t="shared" si="3"/>
        <v>62.051858468721797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210.2</v>
      </c>
      <c r="BE39" s="13">
        <f>BD39*VLOOKUP('Données projet'!$B$11,Paramètres!$A$1:$I$89,3,0)*VLOOKUP('Données projet'!$B$11,Paramètres!$A$1:$I$89,5,0)</f>
        <v>154.11863999999997</v>
      </c>
      <c r="BF39" s="13">
        <f t="shared" si="37"/>
        <v>39.513080685376593</v>
      </c>
      <c r="BG39" s="20">
        <f t="shared" si="7"/>
        <v>337.24191352703082</v>
      </c>
      <c r="BH39" s="59">
        <f t="shared" si="8"/>
        <v>630.57524686036413</v>
      </c>
      <c r="BI39" s="59">
        <f ca="1">AVERAGE(OFFSET($BH$3,0,0,'Données projet'!$E$11+1,1))-AVERAGE(OFFSET($H$3,0,0,'Données projet'!$E$11+1,1))</f>
        <v>254.00493808294931</v>
      </c>
      <c r="BJ39" s="59">
        <f t="shared" si="38"/>
        <v>365.76175372075869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21.222287511211611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21.222287511211611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36</v>
      </c>
      <c r="N40" s="13">
        <f>IF('Données projet'!$A$36&gt;35,N39+M40-V39,IF(A40&lt;'Données projet'!$A$36,$K$205^A40,IF(A40='Données projet'!$A$36,'Données projet'!$B$36,N39+M40-V39)))</f>
        <v>586</v>
      </c>
      <c r="O40" s="13">
        <f>N40*VLOOKUP('Données projet'!$B$9,Paramètres!$A$1:$I$89,3,0)*VLOOKUP('Données projet'!$B$9,Paramètres!$A$1:$I$89,5,0)</f>
        <v>274.24799999999999</v>
      </c>
      <c r="P40" s="13">
        <f t="shared" si="33"/>
        <v>65.749981378063481</v>
      </c>
      <c r="Q40" s="20">
        <f t="shared" si="53"/>
        <v>592.16315090012722</v>
      </c>
      <c r="R40" s="59">
        <f t="shared" si="0"/>
        <v>885.49648423346048</v>
      </c>
      <c r="S40" s="59">
        <f ca="1">AVERAGE(OFFSET($R$3,0,0,'Données projet'!$E$9+1,1))-AVERAGE(OFFSET($H$3,0,0,'Données projet'!$E$9+1,1))</f>
        <v>345.45636360520137</v>
      </c>
      <c r="T40" s="59">
        <f t="shared" si="34"/>
        <v>469.30074822262549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60.355047135729187</v>
      </c>
      <c r="AB40" s="21">
        <f>EXP(-LN(2)/2)*AB39+(1-EXP(-LN(2)/2))/(LN(2)/2)*V40*Y40*VLOOKUP('Données projet'!$B$9,Paramètres!$A$1:$I$89,3,0)*0.475*44/12</f>
        <v>0</v>
      </c>
      <c r="AC40" s="22">
        <f t="shared" si="3"/>
        <v>60.355047135729187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223.39999999999998</v>
      </c>
      <c r="BE40" s="13">
        <f>BD40*VLOOKUP('Données projet'!$B$11,Paramètres!$A$1:$I$89,3,0)*VLOOKUP('Données projet'!$B$11,Paramètres!$A$1:$I$89,5,0)</f>
        <v>163.79687999999999</v>
      </c>
      <c r="BF40" s="13">
        <f t="shared" si="37"/>
        <v>41.697739822198329</v>
      </c>
      <c r="BG40" s="20">
        <f t="shared" si="7"/>
        <v>357.90312952366207</v>
      </c>
      <c r="BH40" s="59">
        <f t="shared" si="8"/>
        <v>651.23646285699533</v>
      </c>
      <c r="BI40" s="59">
        <f ca="1">AVERAGE(OFFSET($BH$3,0,0,'Données projet'!$E$11+1,1))-AVERAGE(OFFSET($H$3,0,0,'Données projet'!$E$11+1,1))</f>
        <v>254.00493808294931</v>
      </c>
      <c r="BJ40" s="59">
        <f t="shared" si="38"/>
        <v>365.76175372075869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20.641962943185934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20.641962943185934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36</v>
      </c>
      <c r="N41" s="13">
        <f>IF('Données projet'!$A$36&gt;35,N40+M41-V40,IF(A41&lt;'Données projet'!$A$36,$K$205^A41,IF(A41='Données projet'!$A$36,'Données projet'!$B$36,N40+M41-V40)))</f>
        <v>622</v>
      </c>
      <c r="O41" s="13">
        <f>N41*VLOOKUP('Données projet'!$B$9,Paramètres!$A$1:$I$89,3,0)*VLOOKUP('Données projet'!$B$9,Paramètres!$A$1:$I$89,5,0)</f>
        <v>291.096</v>
      </c>
      <c r="P41" s="13">
        <f t="shared" si="33"/>
        <v>69.306582531434373</v>
      </c>
      <c r="Q41" s="20">
        <f t="shared" si="53"/>
        <v>627.70116457558152</v>
      </c>
      <c r="R41" s="59">
        <f t="shared" si="0"/>
        <v>921.03449790891477</v>
      </c>
      <c r="S41" s="59">
        <f ca="1">AVERAGE(OFFSET($R$3,0,0,'Données projet'!$E$9+1,1))-AVERAGE(OFFSET($H$3,0,0,'Données projet'!$E$9+1,1))</f>
        <v>345.45636360520137</v>
      </c>
      <c r="T41" s="59">
        <f t="shared" si="34"/>
        <v>469.30074822262549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58.70463519786869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58.70463519786869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236.59999999999997</v>
      </c>
      <c r="BE41" s="13">
        <f>BD41*VLOOKUP('Données projet'!$B$11,Paramètres!$A$1:$I$89,3,0)*VLOOKUP('Données projet'!$B$11,Paramètres!$A$1:$I$89,5,0)</f>
        <v>173.47511999999998</v>
      </c>
      <c r="BF41" s="13">
        <f t="shared" si="37"/>
        <v>43.867415861334891</v>
      </c>
      <c r="BG41" s="20">
        <f t="shared" si="7"/>
        <v>378.53824995849158</v>
      </c>
      <c r="BH41" s="59">
        <f t="shared" si="8"/>
        <v>671.87158329182489</v>
      </c>
      <c r="BI41" s="59">
        <f ca="1">AVERAGE(OFFSET($BH$3,0,0,'Données projet'!$E$11+1,1))-AVERAGE(OFFSET($H$3,0,0,'Données projet'!$E$11+1,1))</f>
        <v>254.00493808294931</v>
      </c>
      <c r="BJ41" s="59">
        <f t="shared" si="38"/>
        <v>365.76175372075869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20.077507380990863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20.077507380990863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36</v>
      </c>
      <c r="N42" s="13">
        <f>IF('Données projet'!$A$36&gt;35,N41+M42-V41,IF(A42&lt;'Données projet'!$A$36,$K$205^A42,IF(A42='Données projet'!$A$36,'Données projet'!$B$36,N41+M42-V41)))</f>
        <v>658</v>
      </c>
      <c r="O42" s="13">
        <f>N42*VLOOKUP('Données projet'!$B$9,Paramètres!$A$1:$I$89,3,0)*VLOOKUP('Données projet'!$B$9,Paramètres!$A$1:$I$89,5,0)</f>
        <v>307.94400000000002</v>
      </c>
      <c r="P42" s="13">
        <f t="shared" si="33"/>
        <v>72.839289392732184</v>
      </c>
      <c r="Q42" s="20">
        <f t="shared" si="53"/>
        <v>663.19756235900854</v>
      </c>
      <c r="R42" s="59">
        <f t="shared" si="0"/>
        <v>956.5308956923418</v>
      </c>
      <c r="S42" s="59">
        <f ca="1">AVERAGE(OFFSET($R$3,0,0,'Données projet'!$E$9+1,1))-AVERAGE(OFFSET($H$3,0,0,'Données projet'!$E$9+1,1))</f>
        <v>345.45636360520137</v>
      </c>
      <c r="T42" s="59">
        <f t="shared" si="34"/>
        <v>469.30074822262549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57.099353861240374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57.099353861240374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249.79999999999995</v>
      </c>
      <c r="BE42" s="13">
        <f>BD42*VLOOKUP('Données projet'!$B$11,Paramètres!$A$1:$I$89,3,0)*VLOOKUP('Données projet'!$B$11,Paramètres!$A$1:$I$89,5,0)</f>
        <v>183.15335999999996</v>
      </c>
      <c r="BF42" s="13">
        <f t="shared" si="37"/>
        <v>46.023039984246878</v>
      </c>
      <c r="BG42" s="20">
        <f t="shared" si="7"/>
        <v>399.14889663922986</v>
      </c>
      <c r="BH42" s="59">
        <f t="shared" si="8"/>
        <v>692.48222997256312</v>
      </c>
      <c r="BI42" s="59">
        <f ca="1">AVERAGE(OFFSET($BH$3,0,0,'Données projet'!$E$11+1,1))-AVERAGE(OFFSET($H$3,0,0,'Données projet'!$E$11+1,1))</f>
        <v>254.00493808294931</v>
      </c>
      <c r="BJ42" s="59">
        <f t="shared" si="38"/>
        <v>365.76175372075869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19.528486885827441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19.528486885827441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36</v>
      </c>
      <c r="N43" s="13">
        <f>IF('Données projet'!$A$36&gt;35,N42+M43-V42,IF(A43&lt;'Données projet'!$A$36,$K$205^A43,IF(A43='Données projet'!$A$36,'Données projet'!$B$36,N42+M43-V42)))</f>
        <v>694</v>
      </c>
      <c r="O43" s="13">
        <f>N43*VLOOKUP('Données projet'!$B$9,Paramètres!$A$1:$I$89,3,0)*VLOOKUP('Données projet'!$B$9,Paramètres!$A$1:$I$89,5,0)</f>
        <v>324.79200000000003</v>
      </c>
      <c r="P43" s="13">
        <f t="shared" si="33"/>
        <v>76.349558270976459</v>
      </c>
      <c r="Q43" s="20">
        <f t="shared" si="53"/>
        <v>698.65488065528405</v>
      </c>
      <c r="R43" s="59">
        <f t="shared" si="0"/>
        <v>991.98821398861742</v>
      </c>
      <c r="S43" s="59">
        <f ca="1">AVERAGE(OFFSET($R$3,0,0,'Données projet'!$E$9+1,1))-AVERAGE(OFFSET($H$3,0,0,'Données projet'!$E$9+1,1))</f>
        <v>345.45636360520137</v>
      </c>
      <c r="T43" s="59">
        <f t="shared" si="34"/>
        <v>469.30074822262549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55.537969027180239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55.537969027180239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192.83159999999995</v>
      </c>
      <c r="BF43" s="13">
        <f t="shared" si="37"/>
        <v>48.165439402688818</v>
      </c>
      <c r="BG43" s="20">
        <f t="shared" si="7"/>
        <v>419.73651029301618</v>
      </c>
      <c r="BH43" s="59">
        <f t="shared" si="8"/>
        <v>713.06984362634944</v>
      </c>
      <c r="BI43" s="59">
        <f ca="1">AVERAGE(OFFSET($BH$3,0,0,'Données projet'!$E$11+1,1))-AVERAGE(OFFSET($H$3,0,0,'Données projet'!$E$11+1,1))</f>
        <v>254.00493808294931</v>
      </c>
      <c r="BJ43" s="59">
        <f t="shared" si="38"/>
        <v>365.76175372075869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0.34400000000000003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30.103471088721115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30.103471088721115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36</v>
      </c>
      <c r="N44" s="13">
        <f>IF('Données projet'!$A$36&gt;35,N43+M44-V43,IF(A44&lt;'Données projet'!$A$36,$K$205^A44,IF(A44='Données projet'!$A$36,'Données projet'!$B$36,N43+M44-V43)))</f>
        <v>730</v>
      </c>
      <c r="O44" s="13">
        <f>N44*VLOOKUP('Données projet'!$B$9,Paramètres!$A$1:$I$89,3,0)*VLOOKUP('Données projet'!$B$9,Paramètres!$A$1:$I$89,5,0)</f>
        <v>341.64000000000004</v>
      </c>
      <c r="P44" s="13">
        <f t="shared" si="33"/>
        <v>79.8386858547359</v>
      </c>
      <c r="Q44" s="20">
        <f t="shared" si="53"/>
        <v>734.07537786366504</v>
      </c>
      <c r="R44" s="59">
        <f t="shared" si="0"/>
        <v>1027.4087111969984</v>
      </c>
      <c r="S44" s="59">
        <f ca="1">AVERAGE(OFFSET($R$3,0,0,'Données projet'!$E$9+1,1))-AVERAGE(OFFSET($H$3,0,0,'Données projet'!$E$9+1,1))</f>
        <v>345.45636360520137</v>
      </c>
      <c r="T44" s="59">
        <f t="shared" si="34"/>
        <v>469.30074822262549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54.019280343517138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54.019280343517138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234.39999999999992</v>
      </c>
      <c r="BE44" s="13">
        <f>BD44*VLOOKUP('Données projet'!$B$11,Paramètres!$A$1:$I$89,3,0)*VLOOKUP('Données projet'!$B$11,Paramètres!$A$1:$I$89,5,0)</f>
        <v>171.86207999999993</v>
      </c>
      <c r="BF44" s="13">
        <f t="shared" si="37"/>
        <v>43.506802778694762</v>
      </c>
      <c r="BG44" s="20">
        <f t="shared" si="7"/>
        <v>375.10080417289322</v>
      </c>
      <c r="BH44" s="59">
        <f t="shared" si="8"/>
        <v>668.43413750622653</v>
      </c>
      <c r="BI44" s="59">
        <f ca="1">AVERAGE(OFFSET($BH$3,0,0,'Données projet'!$E$11+1,1))-AVERAGE(OFFSET($H$3,0,0,'Données projet'!$E$11+1,1))</f>
        <v>254.00493808294931</v>
      </c>
      <c r="BJ44" s="59">
        <f t="shared" si="38"/>
        <v>365.76175372075869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29.280290088727295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29.280290088727295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766</v>
      </c>
      <c r="L45" s="12">
        <f>VLOOKUP(A45,'Données projet'!$A$35:$I$55,9,0)</f>
        <v>36</v>
      </c>
      <c r="M45" s="12">
        <f t="array" ref="M45">INDEX(L:L,MIN(IF(ISNUMBER(L45:L241),ROW(L45:L241),"")))</f>
        <v>36</v>
      </c>
      <c r="N45" s="13">
        <f>IF('Données projet'!$A$36&gt;35,N44+M45-V44,IF(A45&lt;'Données projet'!$A$36,$K$205^A45,IF(A45='Données projet'!$A$36,'Données projet'!$B$36,N44+M45-V44)))</f>
        <v>766</v>
      </c>
      <c r="O45" s="13">
        <f>N45*VLOOKUP('Données projet'!$B$9,Paramètres!$A$1:$I$89,3,0)*VLOOKUP('Données projet'!$B$9,Paramètres!$A$1:$I$89,5,0)</f>
        <v>358.488</v>
      </c>
      <c r="P45" s="13">
        <f t="shared" si="33"/>
        <v>83.307833714918146</v>
      </c>
      <c r="Q45" s="20">
        <f t="shared" si="53"/>
        <v>769.46107705348243</v>
      </c>
      <c r="R45" s="59">
        <f t="shared" si="0"/>
        <v>1062.7944103868158</v>
      </c>
      <c r="S45" s="59">
        <f ca="1">AVERAGE(OFFSET($R$3,0,0,'Données projet'!$E$9+1,1))-AVERAGE(OFFSET($H$3,0,0,'Données projet'!$E$9+1,1))</f>
        <v>345.45636360520137</v>
      </c>
      <c r="T45" s="59">
        <f t="shared" si="34"/>
        <v>469.30074822262549</v>
      </c>
      <c r="U45" s="15">
        <f>IF(ISNA(VLOOKUP(A45,'Données projet'!$A$35:$I$55,3,0)),0,VLOOKUP(A45,'Données projet'!$A$35:$I$55,3,0))</f>
        <v>7</v>
      </c>
      <c r="V45" s="15">
        <f>IF(ISNA(VLOOKUP(A45,'Données projet'!$A$35:$I$55,4,0)),0,VLOOKUP(A45,'Données projet'!$A$35:$I$55,4,0))</f>
        <v>79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57.915909502146164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57.915909502146164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245.79999999999993</v>
      </c>
      <c r="BE45" s="13">
        <f>BD45*VLOOKUP('Données projet'!$B$11,Paramètres!$A$1:$I$89,3,0)*VLOOKUP('Données projet'!$B$11,Paramètres!$A$1:$I$89,5,0)</f>
        <v>180.22055999999992</v>
      </c>
      <c r="BF45" s="13">
        <f t="shared" si="37"/>
        <v>45.371253205145926</v>
      </c>
      <c r="BG45" s="20">
        <f t="shared" si="7"/>
        <v>392.90574133229569</v>
      </c>
      <c r="BH45" s="59">
        <f t="shared" si="8"/>
        <v>686.239074665629</v>
      </c>
      <c r="BI45" s="59">
        <f ca="1">AVERAGE(OFFSET($BH$3,0,0,'Données projet'!$E$11+1,1))-AVERAGE(OFFSET($H$3,0,0,'Données projet'!$E$11+1,1))</f>
        <v>254.00493808294931</v>
      </c>
      <c r="BJ45" s="59">
        <f t="shared" si="38"/>
        <v>365.76175372075869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28.479619016467513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28.479619016467513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29.4</v>
      </c>
      <c r="N46" s="13">
        <f>IF('Données projet'!$A$36&gt;35,N45+M46-V45,IF(A46&lt;'Données projet'!$A$36,$K$205^A46,IF(A46='Données projet'!$A$36,'Données projet'!$B$36,N45+M46-V45)))</f>
        <v>716.4</v>
      </c>
      <c r="O46" s="13">
        <f>N46*VLOOKUP('Données projet'!$B$9,Paramètres!$A$1:$I$89,3,0)*VLOOKUP('Données projet'!$B$9,Paramètres!$A$1:$I$89,5,0)</f>
        <v>335.27519999999998</v>
      </c>
      <c r="P46" s="13">
        <f t="shared" si="33"/>
        <v>78.522979209968497</v>
      </c>
      <c r="Q46" s="20">
        <f t="shared" si="53"/>
        <v>720.69849545736179</v>
      </c>
      <c r="R46" s="59">
        <f t="shared" si="0"/>
        <v>1014.031828790695</v>
      </c>
      <c r="S46" s="59">
        <f ca="1">AVERAGE(OFFSET($R$3,0,0,'Données projet'!$E$9+1,1))-AVERAGE(OFFSET($H$3,0,0,'Données projet'!$E$9+1,1))</f>
        <v>345.45636360520137</v>
      </c>
      <c r="T46" s="59">
        <f t="shared" si="34"/>
        <v>469.30074822262549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56.332195911144666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56.332195911144666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257.19999999999993</v>
      </c>
      <c r="BE46" s="13">
        <f>BD46*VLOOKUP('Données projet'!$B$11,Paramètres!$A$1:$I$89,3,0)*VLOOKUP('Données projet'!$B$11,Paramètres!$A$1:$I$89,5,0)</f>
        <v>188.57903999999994</v>
      </c>
      <c r="BF46" s="13">
        <f t="shared" si="37"/>
        <v>47.22566164876563</v>
      </c>
      <c r="BG46" s="20">
        <f t="shared" si="7"/>
        <v>410.69318870493333</v>
      </c>
      <c r="BH46" s="59">
        <f t="shared" si="8"/>
        <v>704.02652203826665</v>
      </c>
      <c r="BI46" s="59">
        <f ca="1">AVERAGE(OFFSET($BH$3,0,0,'Données projet'!$E$11+1,1))-AVERAGE(OFFSET($H$3,0,0,'Données projet'!$E$11+1,1))</f>
        <v>254.00493808294931</v>
      </c>
      <c r="BJ46" s="59">
        <f t="shared" si="38"/>
        <v>365.76175372075869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27.700842336784135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27.700842336784135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29.4</v>
      </c>
      <c r="N47" s="13">
        <f>IF('Données projet'!$A$36&gt;35,N46+M47-V46,IF(A47&lt;'Données projet'!$A$36,$K$205^A47,IF(A47='Données projet'!$A$36,'Données projet'!$B$36,N46+M47-V46)))</f>
        <v>745.8</v>
      </c>
      <c r="O47" s="13">
        <f>N47*VLOOKUP('Données projet'!$B$9,Paramètres!$A$1:$I$89,3,0)*VLOOKUP('Données projet'!$B$9,Paramètres!$A$1:$I$89,5,0)</f>
        <v>349.03440000000001</v>
      </c>
      <c r="P47" s="13">
        <f t="shared" si="33"/>
        <v>81.36365221221385</v>
      </c>
      <c r="Q47" s="20">
        <f t="shared" si="53"/>
        <v>749.60994093627244</v>
      </c>
      <c r="R47" s="59">
        <f t="shared" si="0"/>
        <v>1042.9432742696058</v>
      </c>
      <c r="S47" s="59">
        <f ca="1">AVERAGE(OFFSET($R$3,0,0,'Données projet'!$E$9+1,1))-AVERAGE(OFFSET($H$3,0,0,'Données projet'!$E$9+1,1))</f>
        <v>345.45636360520137</v>
      </c>
      <c r="T47" s="59">
        <f t="shared" si="34"/>
        <v>469.30074822262549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54.791789051572984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54.791789051572984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268.59999999999991</v>
      </c>
      <c r="BE47" s="13">
        <f>BD47*VLOOKUP('Données projet'!$B$11,Paramètres!$A$1:$I$89,3,0)*VLOOKUP('Données projet'!$B$11,Paramètres!$A$1:$I$89,5,0)</f>
        <v>196.93751999999992</v>
      </c>
      <c r="BF47" s="13">
        <f t="shared" si="37"/>
        <v>49.070524066369494</v>
      </c>
      <c r="BG47" s="20">
        <f t="shared" si="7"/>
        <v>428.46401008226007</v>
      </c>
      <c r="BH47" s="59">
        <f t="shared" si="8"/>
        <v>721.79734341559333</v>
      </c>
      <c r="BI47" s="59">
        <f ca="1">AVERAGE(OFFSET($BH$3,0,0,'Données projet'!$E$11+1,1))-AVERAGE(OFFSET($H$3,0,0,'Données projet'!$E$11+1,1))</f>
        <v>254.00493808294931</v>
      </c>
      <c r="BJ47" s="59">
        <f t="shared" si="38"/>
        <v>365.76175372075869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26.943361346360785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26.943361346360785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29.4</v>
      </c>
      <c r="N48" s="13">
        <f>IF('Données projet'!$A$36&gt;35,N47+M48-V47,IF(A48&lt;'Données projet'!$A$36,$K$205^A48,IF(A48='Données projet'!$A$36,'Données projet'!$B$36,N47+M48-V47)))</f>
        <v>775.19999999999993</v>
      </c>
      <c r="O48" s="13">
        <f>N48*VLOOKUP('Données projet'!$B$9,Paramètres!$A$1:$I$89,3,0)*VLOOKUP('Données projet'!$B$9,Paramètres!$A$1:$I$89,5,0)</f>
        <v>362.79359999999997</v>
      </c>
      <c r="P48" s="13">
        <f t="shared" si="33"/>
        <v>84.191316871558996</v>
      </c>
      <c r="Q48" s="20">
        <f t="shared" si="53"/>
        <v>778.4987302179652</v>
      </c>
      <c r="R48" s="59">
        <f t="shared" si="0"/>
        <v>1071.8320635512985</v>
      </c>
      <c r="S48" s="59">
        <f ca="1">AVERAGE(OFFSET($R$3,0,0,'Données projet'!$E$9+1,1))-AVERAGE(OFFSET($H$3,0,0,'Données projet'!$E$9+1,1))</f>
        <v>345.45636360520137</v>
      </c>
      <c r="T48" s="59">
        <f t="shared" si="34"/>
        <v>469.30074822262549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53.293504698582765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53.293504698582765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280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279.99999999999989</v>
      </c>
      <c r="BE48" s="13">
        <f>BD48*VLOOKUP('Données projet'!$B$11,Paramètres!$A$1:$I$89,3,0)*VLOOKUP('Données projet'!$B$11,Paramètres!$A$1:$I$89,5,0)</f>
        <v>205.29599999999991</v>
      </c>
      <c r="BF48" s="13">
        <f t="shared" si="37"/>
        <v>50.906291934375353</v>
      </c>
      <c r="BG48" s="20">
        <f t="shared" si="7"/>
        <v>446.21899178570357</v>
      </c>
      <c r="BH48" s="59">
        <f t="shared" si="8"/>
        <v>739.55232511903682</v>
      </c>
      <c r="BI48" s="59">
        <f ca="1">AVERAGE(OFFSET($BH$3,0,0,'Données projet'!$E$11+1,1))-AVERAGE(OFFSET($H$3,0,0,'Données projet'!$E$11+1,1))</f>
        <v>254.00493808294931</v>
      </c>
      <c r="BJ48" s="59">
        <f t="shared" si="38"/>
        <v>365.76175372075869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9.0617352638183899</v>
      </c>
      <c r="BQ48" s="21">
        <f>EXP(-LN(2)/25)*BQ47+(1-EXP(-LN(2)/25))/(LN(2)/25)*Calculateur!BL48*Calculateur!BN48*VLOOKUP('Données projet'!$B$11,Paramètres!$A$1:$I$89,3,0)*0.475*44/12</f>
        <v>26.206593713454755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35.268328977273143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29.4</v>
      </c>
      <c r="N49" s="13">
        <f>IF('Données projet'!$A$36&gt;35,N48+M49-V48,IF(A49&lt;'Données projet'!$A$36,$K$205^A49,IF(A49='Données projet'!$A$36,'Données projet'!$B$36,N48+M49-V48)))</f>
        <v>804.59999999999991</v>
      </c>
      <c r="O49" s="13">
        <f>N49*VLOOKUP('Données projet'!$B$9,Paramètres!$A$1:$I$89,3,0)*VLOOKUP('Données projet'!$B$9,Paramètres!$A$1:$I$89,5,0)</f>
        <v>376.55279999999993</v>
      </c>
      <c r="P49" s="13">
        <f t="shared" si="33"/>
        <v>87.006523018866147</v>
      </c>
      <c r="Q49" s="20">
        <f t="shared" si="53"/>
        <v>807.365820924525</v>
      </c>
      <c r="R49" s="59">
        <f t="shared" si="0"/>
        <v>1100.6991542578583</v>
      </c>
      <c r="S49" s="59">
        <f ca="1">AVERAGE(OFFSET($R$3,0,0,'Données projet'!$E$9+1,1))-AVERAGE(OFFSET($H$3,0,0,'Données projet'!$E$9+1,1))</f>
        <v>345.45636360520137</v>
      </c>
      <c r="T49" s="59">
        <f t="shared" si="34"/>
        <v>469.30074822262549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51.836191010016414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51.836191010016414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263.7999999999999</v>
      </c>
      <c r="BE49" s="13">
        <f>BD49*VLOOKUP('Données projet'!$B$11,Paramètres!$A$1:$I$89,3,0)*VLOOKUP('Données projet'!$B$11,Paramètres!$A$1:$I$89,5,0)</f>
        <v>193.41815999999992</v>
      </c>
      <c r="BF49" s="13">
        <f t="shared" si="37"/>
        <v>48.294873490521283</v>
      </c>
      <c r="BG49" s="20">
        <f t="shared" si="7"/>
        <v>420.98353332932442</v>
      </c>
      <c r="BH49" s="59">
        <f t="shared" si="8"/>
        <v>714.31686666265773</v>
      </c>
      <c r="BI49" s="59">
        <f ca="1">AVERAGE(OFFSET($BH$3,0,0,'Données projet'!$E$11+1,1))-AVERAGE(OFFSET($H$3,0,0,'Données projet'!$E$11+1,1))</f>
        <v>254.00493808294931</v>
      </c>
      <c r="BJ49" s="59">
        <f t="shared" si="38"/>
        <v>365.76175372075869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8.8840401624076648</v>
      </c>
      <c r="BQ49" s="21">
        <f>EXP(-LN(2)/25)*BQ48+(1-EXP(-LN(2)/25))/(LN(2)/25)*Calculateur!BL49*Calculateur!BN49*VLOOKUP('Données projet'!$B$11,Paramètres!$A$1:$I$89,3,0)*0.475*44/12</f>
        <v>25.489973030215467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34.374013192623131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>
        <f>VLOOKUP(A50,'Données projet'!$A$35:$I$55,2,0)</f>
        <v>834</v>
      </c>
      <c r="L50" s="12">
        <f>VLOOKUP(A50,'Données projet'!$A$35:$I$55,9,0)</f>
        <v>29.4</v>
      </c>
      <c r="M50" s="12">
        <f t="array" ref="M50">INDEX(L:L,MIN(IF(ISNUMBER(L50:L246),ROW(L50:L246),"")))</f>
        <v>29.4</v>
      </c>
      <c r="N50" s="13">
        <f>IF('Données projet'!$A$36&gt;35,N49+M50-V49,IF(A50&lt;'Données projet'!$A$36,$K$205^A50,IF(A50='Données projet'!$A$36,'Données projet'!$B$36,N49+M50-V49)))</f>
        <v>833.99999999999989</v>
      </c>
      <c r="O50" s="13">
        <f>N50*VLOOKUP('Données projet'!$B$9,Paramètres!$A$1:$I$89,3,0)*VLOOKUP('Données projet'!$B$9,Paramètres!$A$1:$I$89,5,0)</f>
        <v>390.31199999999995</v>
      </c>
      <c r="P50" s="13">
        <f t="shared" si="33"/>
        <v>89.809778026376492</v>
      </c>
      <c r="Q50" s="20">
        <f t="shared" si="53"/>
        <v>836.21209672927228</v>
      </c>
      <c r="R50" s="59">
        <f t="shared" si="0"/>
        <v>1129.5454300626056</v>
      </c>
      <c r="S50" s="59">
        <f ca="1">AVERAGE(OFFSET($R$3,0,0,'Données projet'!$E$9+1,1))-AVERAGE(OFFSET($H$3,0,0,'Données projet'!$E$9+1,1))</f>
        <v>345.45636360520137</v>
      </c>
      <c r="T50" s="59">
        <f t="shared" si="34"/>
        <v>469.30074822262549</v>
      </c>
      <c r="U50" s="15" t="str">
        <f>IF(ISNA(VLOOKUP(A50,'Données projet'!$A$35:$I$55,3,0)),0,VLOOKUP(A50,'Données projet'!$A$35:$I$55,3,0))</f>
        <v>CR</v>
      </c>
      <c r="V50" s="15">
        <f>IF(ISNA(VLOOKUP(A50,'Données projet'!$A$35:$I$55,4,0)),0,VLOOKUP(A50,'Données projet'!$A$35:$I$55,4,0))</f>
        <v>834</v>
      </c>
      <c r="W50" s="16">
        <f>IF(ISNA(VLOOKUP(A50,'Données projet'!$A$35:$I$55,5,0)),0%,VLOOKUP(A50,'Données projet'!$A$35:$I$55,5,0)*VLOOKUP('Données projet'!$B$9,Paramètres!$A$1:$I$89,7,0))</f>
        <v>0.55000000000000004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284.77571415233479</v>
      </c>
      <c r="AA50" s="21">
        <f>EXP(-LN(2)/25)*AA49+(1-EXP(-LN(2)/25))/(LN(2)/25)*Calculateur!V50*Calculateur!X50*VLOOKUP('Données projet'!$B$9,Paramètres!$A$1:$I$89,3,0)*0.475*44/12</f>
        <v>50.418727640900705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335.19444179323551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273.59999999999991</v>
      </c>
      <c r="BE50" s="13">
        <f>BD50*VLOOKUP('Données projet'!$B$11,Paramètres!$A$1:$I$89,3,0)*VLOOKUP('Données projet'!$B$11,Paramètres!$A$1:$I$89,5,0)</f>
        <v>200.60351999999995</v>
      </c>
      <c r="BF50" s="13">
        <f t="shared" si="37"/>
        <v>49.87677988675906</v>
      </c>
      <c r="BG50" s="20">
        <f t="shared" si="7"/>
        <v>436.25318896943855</v>
      </c>
      <c r="BH50" s="59">
        <f t="shared" si="8"/>
        <v>729.58652230277187</v>
      </c>
      <c r="BI50" s="59">
        <f ca="1">AVERAGE(OFFSET($BH$3,0,0,'Données projet'!$E$11+1,1))-AVERAGE(OFFSET($H$3,0,0,'Données projet'!$E$11+1,1))</f>
        <v>254.00493808294931</v>
      </c>
      <c r="BJ50" s="59">
        <f t="shared" si="38"/>
        <v>365.76175372075869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8.7098295535522947</v>
      </c>
      <c r="BQ50" s="21">
        <f>EXP(-LN(2)/25)*BQ49+(1-EXP(-LN(2)/25))/(LN(2)/25)*Calculateur!BL50*Calculateur!BN50*VLOOKUP('Données projet'!$B$11,Paramètres!$A$1:$I$89,3,0)*0.475*44/12</f>
        <v>24.792948377244802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33.502777930797095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-1.1368683772161603E-13</v>
      </c>
      <c r="O51" s="13">
        <f>N51*VLOOKUP('Données projet'!$B$9,Paramètres!$A$1:$I$89,3,0)*VLOOKUP('Données projet'!$B$9,Paramètres!$A$1:$I$89,5,0)</f>
        <v>-5.3205440053716299E-14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345.45636360520137</v>
      </c>
      <c r="T51" s="59">
        <f t="shared" si="34"/>
        <v>469.30074822262549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279.19143609384207</v>
      </c>
      <c r="AA51" s="21">
        <f>EXP(-LN(2)/25)*AA50+(1-EXP(-LN(2)/25))/(LN(2)/25)*Calculateur!V51*Calculateur!X51*VLOOKUP('Données projet'!$B$9,Paramètres!$A$1:$I$89,3,0)*0.475*44/12</f>
        <v>49.040024882154626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328.2314609759967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283.39999999999992</v>
      </c>
      <c r="BE51" s="13">
        <f>BD51*VLOOKUP('Données projet'!$B$11,Paramètres!$A$1:$I$89,3,0)*VLOOKUP('Données projet'!$B$11,Paramètres!$A$1:$I$89,5,0)</f>
        <v>207.78887999999992</v>
      </c>
      <c r="BF51" s="13">
        <f t="shared" si="37"/>
        <v>51.452103086551489</v>
      </c>
      <c r="BG51" s="20">
        <f t="shared" si="7"/>
        <v>451.51137887574367</v>
      </c>
      <c r="BH51" s="59">
        <f t="shared" si="8"/>
        <v>744.84471220907699</v>
      </c>
      <c r="BI51" s="59">
        <f ca="1">AVERAGE(OFFSET($BH$3,0,0,'Données projet'!$E$11+1,1))-AVERAGE(OFFSET($H$3,0,0,'Données projet'!$E$11+1,1))</f>
        <v>254.00493808294931</v>
      </c>
      <c r="BJ51" s="59">
        <f t="shared" si="38"/>
        <v>365.76175372075869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8.5390351084785987</v>
      </c>
      <c r="BQ51" s="21">
        <f>EXP(-LN(2)/25)*BQ50+(1-EXP(-LN(2)/25))/(LN(2)/25)*Calculateur!BL51*Calculateur!BN51*VLOOKUP('Données projet'!$B$11,Paramètres!$A$1:$I$89,3,0)*0.475*44/12</f>
        <v>24.114983900064551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32.654019008543152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-1.1368683772161603E-13</v>
      </c>
      <c r="O52" s="13">
        <f>N52*VLOOKUP('Données projet'!$B$9,Paramètres!$A$1:$I$89,3,0)*VLOOKUP('Données projet'!$B$9,Paramètres!$A$1:$I$89,5,0)</f>
        <v>-5.3205440053716299E-14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345.45636360520137</v>
      </c>
      <c r="T52" s="59">
        <f t="shared" si="34"/>
        <v>469.30074822262549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273.71666232200312</v>
      </c>
      <c r="AA52" s="21">
        <f>EXP(-LN(2)/25)*AA51+(1-EXP(-LN(2)/25))/(LN(2)/25)*Calculateur!V52*Calculateur!X52*VLOOKUP('Données projet'!$B$9,Paramètres!$A$1:$I$89,3,0)*0.475*44/12</f>
        <v>47.69902282284928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321.41568514485238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293.19999999999993</v>
      </c>
      <c r="BE52" s="13">
        <f>BD52*VLOOKUP('Données projet'!$B$11,Paramètres!$A$1:$I$89,3,0)*VLOOKUP('Données projet'!$B$11,Paramètres!$A$1:$I$89,5,0)</f>
        <v>214.97423999999995</v>
      </c>
      <c r="BF52" s="13">
        <f t="shared" si="37"/>
        <v>53.021096827639134</v>
      </c>
      <c r="BG52" s="20">
        <f t="shared" si="7"/>
        <v>466.75854497480481</v>
      </c>
      <c r="BH52" s="59">
        <f t="shared" si="8"/>
        <v>760.09187830813812</v>
      </c>
      <c r="BI52" s="59">
        <f ca="1">AVERAGE(OFFSET($BH$3,0,0,'Données projet'!$E$11+1,1))-AVERAGE(OFFSET($H$3,0,0,'Données projet'!$E$11+1,1))</f>
        <v>254.00493808294931</v>
      </c>
      <c r="BJ52" s="59">
        <f t="shared" si="38"/>
        <v>365.76175372075869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8.3715898382984726</v>
      </c>
      <c r="BQ52" s="21">
        <f>EXP(-LN(2)/25)*BQ51+(1-EXP(-LN(2)/25))/(LN(2)/25)*Calculateur!BL52*Calculateur!BN52*VLOOKUP('Données projet'!$B$11,Paramètres!$A$1:$I$89,3,0)*0.475*44/12</f>
        <v>23.455558397165397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31.82714823546387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-1.1368683772161603E-13</v>
      </c>
      <c r="O53" s="13">
        <f>N53*VLOOKUP('Données projet'!$B$9,Paramètres!$A$1:$I$89,3,0)*VLOOKUP('Données projet'!$B$9,Paramètres!$A$1:$I$89,5,0)</f>
        <v>-5.3205440053716299E-14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345.45636360520137</v>
      </c>
      <c r="T53" s="59">
        <f t="shared" si="34"/>
        <v>469.30074822262549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268.34924552454765</v>
      </c>
      <c r="AA53" s="21">
        <f>EXP(-LN(2)/25)*AA52+(1-EXP(-LN(2)/25))/(LN(2)/25)*Calculateur!V53*Calculateur!X53*VLOOKUP('Données projet'!$B$9,Paramètres!$A$1:$I$89,3,0)*0.475*44/12</f>
        <v>46.394690535375872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314.7439360599235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303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302.99999999999994</v>
      </c>
      <c r="BE53" s="13">
        <f>BD53*VLOOKUP('Données projet'!$B$11,Paramètres!$A$1:$I$89,3,0)*VLOOKUP('Données projet'!$B$11,Paramètres!$A$1:$I$89,5,0)</f>
        <v>222.15959999999995</v>
      </c>
      <c r="BF53" s="13">
        <f t="shared" si="37"/>
        <v>54.583996923291004</v>
      </c>
      <c r="BG53" s="20">
        <f t="shared" si="7"/>
        <v>481.99509797473166</v>
      </c>
      <c r="BH53" s="59">
        <f t="shared" si="8"/>
        <v>775.32843130806498</v>
      </c>
      <c r="BI53" s="59">
        <f ca="1">AVERAGE(OFFSET($BH$3,0,0,'Données projet'!$E$11+1,1))-AVERAGE(OFFSET($H$3,0,0,'Données projet'!$E$11+1,1))</f>
        <v>254.00493808294931</v>
      </c>
      <c r="BJ53" s="59">
        <f t="shared" si="38"/>
        <v>365.76175372075869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303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113.81149671915705</v>
      </c>
      <c r="BQ53" s="21">
        <f>EXP(-LN(2)/25)*BQ52+(1-EXP(-LN(2)/25))/(LN(2)/25)*Calculateur!BL53*Calculateur!BN53*VLOOKUP('Données projet'!$B$11,Paramètres!$A$1:$I$89,3,0)*0.475*44/12</f>
        <v>22.814164919320703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136.62566163847777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-1.1368683772161603E-13</v>
      </c>
      <c r="O54" s="13">
        <f>N54*VLOOKUP('Données projet'!$B$9,Paramètres!$A$1:$I$89,3,0)*VLOOKUP('Données projet'!$B$9,Paramètres!$A$1:$I$89,5,0)</f>
        <v>-5.3205440053716299E-14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345.45636360520137</v>
      </c>
      <c r="T54" s="59">
        <f t="shared" si="34"/>
        <v>469.30074822262549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263.08708049668928</v>
      </c>
      <c r="AA54" s="21">
        <f>EXP(-LN(2)/25)*AA53+(1-EXP(-LN(2)/25))/(LN(2)/25)*Calculateur!V54*Calculateur!X54*VLOOKUP('Données projet'!$B$9,Paramètres!$A$1:$I$89,3,0)*0.475*44/12</f>
        <v>45.126025282895277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308.21310577958457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-5.6843418860808015E-14</v>
      </c>
      <c r="BE54" s="13">
        <f>BD54*VLOOKUP('Données projet'!$B$11,Paramètres!$A$1:$I$89,3,0)*VLOOKUP('Données projet'!$B$11,Paramètres!$A$1:$I$89,5,0)</f>
        <v>-4.1677594708744434E-14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254.00493808294931</v>
      </c>
      <c r="BJ54" s="59">
        <f t="shared" si="38"/>
        <v>365.76175372075869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111.5797226866529</v>
      </c>
      <c r="BQ54" s="21">
        <f>EXP(-LN(2)/25)*BQ53+(1-EXP(-LN(2)/25))/(LN(2)/25)*Calculateur!BL54*Calculateur!BN54*VLOOKUP('Données projet'!$B$11,Paramètres!$A$1:$I$89,3,0)*0.475*44/12</f>
        <v>22.190310379857088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133.77003306651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-1.1368683772161603E-13</v>
      </c>
      <c r="O55" s="13">
        <f>N55*VLOOKUP('Données projet'!$B$9,Paramètres!$A$1:$I$89,3,0)*VLOOKUP('Données projet'!$B$9,Paramètres!$A$1:$I$89,5,0)</f>
        <v>-5.3205440053716299E-14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345.45636360520137</v>
      </c>
      <c r="T55" s="59">
        <f t="shared" si="34"/>
        <v>469.30074822262549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257.92810331542347</v>
      </c>
      <c r="AA55" s="21">
        <f>EXP(-LN(2)/25)*AA54+(1-EXP(-LN(2)/25))/(LN(2)/25)*Calculateur!V55*Calculateur!X55*VLOOKUP('Données projet'!$B$9,Paramètres!$A$1:$I$89,3,0)*0.475*44/12</f>
        <v>43.89205174845997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301.82015506388342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-5.6843418860808015E-14</v>
      </c>
      <c r="BE55" s="13">
        <f>BD55*VLOOKUP('Données projet'!$B$11,Paramètres!$A$1:$I$89,3,0)*VLOOKUP('Données projet'!$B$11,Paramètres!$A$1:$I$89,5,0)</f>
        <v>-4.1677594708744434E-14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254.00493808294931</v>
      </c>
      <c r="BJ55" s="59">
        <f t="shared" si="38"/>
        <v>365.76175372075869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109.39171238167842</v>
      </c>
      <c r="BQ55" s="21">
        <f>EXP(-LN(2)/25)*BQ54+(1-EXP(-LN(2)/25))/(LN(2)/25)*Calculateur!BL55*Calculateur!BN55*VLOOKUP('Données projet'!$B$11,Paramètres!$A$1:$I$89,3,0)*0.475*44/12</f>
        <v>21.583515175582189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130.97522755726061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-1.1368683772161603E-13</v>
      </c>
      <c r="O56" s="13">
        <f>N56*VLOOKUP('Données projet'!$B$9,Paramètres!$A$1:$I$89,3,0)*VLOOKUP('Données projet'!$B$9,Paramètres!$A$1:$I$89,5,0)</f>
        <v>-5.3205440053716299E-14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345.45636360520137</v>
      </c>
      <c r="T56" s="59">
        <f t="shared" si="34"/>
        <v>469.30074822262549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252.87029053001692</v>
      </c>
      <c r="AA56" s="21">
        <f>EXP(-LN(2)/25)*AA55+(1-EXP(-LN(2)/25))/(LN(2)/25)*Calculateur!V56*Calculateur!X56*VLOOKUP('Données projet'!$B$9,Paramètres!$A$1:$I$89,3,0)*0.475*44/12</f>
        <v>42.691821285215646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295.56211181523258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-5.6843418860808015E-14</v>
      </c>
      <c r="BE56" s="13">
        <f>BD56*VLOOKUP('Données projet'!$B$11,Paramètres!$A$1:$I$89,3,0)*VLOOKUP('Données projet'!$B$11,Paramètres!$A$1:$I$89,5,0)</f>
        <v>-4.1677594708744434E-14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254.00493808294931</v>
      </c>
      <c r="BJ56" s="59">
        <f t="shared" si="38"/>
        <v>365.76175372075869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107.24660762422997</v>
      </c>
      <c r="BQ56" s="21">
        <f>EXP(-LN(2)/25)*BQ55+(1-EXP(-LN(2)/25))/(LN(2)/25)*Calculateur!BL56*Calculateur!BN56*VLOOKUP('Données projet'!$B$11,Paramètres!$A$1:$I$89,3,0)*0.475*44/12</f>
        <v>20.993312818078159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128.23992044230812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-1.1368683772161603E-13</v>
      </c>
      <c r="O57" s="13">
        <f>N57*VLOOKUP('Données projet'!$B$9,Paramètres!$A$1:$I$89,3,0)*VLOOKUP('Données projet'!$B$9,Paramètres!$A$1:$I$89,5,0)</f>
        <v>-5.3205440053716299E-14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345.45636360520137</v>
      </c>
      <c r="T57" s="59">
        <f t="shared" si="34"/>
        <v>469.30074822262549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247.91165836837101</v>
      </c>
      <c r="AA57" s="21">
        <f>EXP(-LN(2)/25)*AA56+(1-EXP(-LN(2)/25))/(LN(2)/25)*Calculateur!V57*Calculateur!X57*VLOOKUP('Données projet'!$B$9,Paramètres!$A$1:$I$89,3,0)*0.475*44/12</f>
        <v>41.524411187106118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289.4360695554771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-5.6843418860808015E-14</v>
      </c>
      <c r="BE57" s="13">
        <f>BD57*VLOOKUP('Données projet'!$B$11,Paramètres!$A$1:$I$89,3,0)*VLOOKUP('Données projet'!$B$11,Paramètres!$A$1:$I$89,5,0)</f>
        <v>-4.1677594708744434E-14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254.00493808294931</v>
      </c>
      <c r="BJ57" s="59">
        <f t="shared" si="38"/>
        <v>365.76175372075869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105.14356706269038</v>
      </c>
      <c r="BQ57" s="21">
        <f>EXP(-LN(2)/25)*BQ56+(1-EXP(-LN(2)/25))/(LN(2)/25)*Calculateur!BL57*Calculateur!BN57*VLOOKUP('Données projet'!$B$11,Paramètres!$A$1:$I$89,3,0)*0.475*44/12</f>
        <v>20.419249575077473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125.56281663776785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-5.3205440053716299E-14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345.45636360520137</v>
      </c>
      <c r="T58" s="59">
        <f t="shared" si="34"/>
        <v>469.30074822262549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243.050261958948</v>
      </c>
      <c r="AA58" s="21">
        <f>EXP(-LN(2)/25)*AA57+(1-EXP(-LN(2)/25))/(LN(2)/25)*Calculateur!V58*Calculateur!X58*VLOOKUP('Données projet'!$B$9,Paramètres!$A$1:$I$89,3,0)*0.475*44/12</f>
        <v>40.388923979520825</v>
      </c>
      <c r="AB58" s="21">
        <f>EXP(-LN(2)/2)*AB57+(1-EXP(-LN(2)/2))/(LN(2)/2)*V58*Y58*VLOOKUP('Données projet'!$B$9,Paramètres!$A$1:$I$89,3,0)*0.475*44/12</f>
        <v>0</v>
      </c>
      <c r="AC58" s="22">
        <f t="shared" si="3"/>
        <v>283.43918593846882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-5.6843418860808015E-14</v>
      </c>
      <c r="BE58" s="13">
        <f>BD58*VLOOKUP('Données projet'!$B$11,Paramètres!$A$1:$I$89,3,0)*VLOOKUP('Données projet'!$B$11,Paramètres!$A$1:$I$89,5,0)</f>
        <v>-4.1677594708744434E-14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254.00493808294931</v>
      </c>
      <c r="BJ58" s="59">
        <f t="shared" si="38"/>
        <v>365.76175372075869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103.08176584383449</v>
      </c>
      <c r="BQ58" s="21">
        <f>EXP(-LN(2)/25)*BQ57+(1-EXP(-LN(2)/25))/(LN(2)/25)*Calculateur!BL58*Calculateur!BN58*VLOOKUP('Données projet'!$B$11,Paramètres!$A$1:$I$89,3,0)*0.475*44/12</f>
        <v>19.860884121645313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122.9426499654798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-5.3205440053716299E-14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345.45636360520137</v>
      </c>
      <c r="T59" s="59">
        <f t="shared" si="34"/>
        <v>469.30074822262549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238.28419456795476</v>
      </c>
      <c r="AA59" s="21">
        <f>EXP(-LN(2)/25)*AA58+(1-EXP(-LN(2)/25))/(LN(2)/25)*Calculateur!V59*Calculateur!X59*VLOOKUP('Données projet'!$B$9,Paramètres!$A$1:$I$89,3,0)*0.475*44/12</f>
        <v>39.284486729339626</v>
      </c>
      <c r="AB59" s="21">
        <f>EXP(-LN(2)/2)*AB58+(1-EXP(-LN(2)/2))/(LN(2)/2)*V59*Y59*VLOOKUP('Données projet'!$B$9,Paramètres!$A$1:$I$89,3,0)*0.475*44/12</f>
        <v>0</v>
      </c>
      <c r="AC59" s="22">
        <f t="shared" si="3"/>
        <v>277.5686812972944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-5.6843418860808015E-14</v>
      </c>
      <c r="BE59" s="13">
        <f>BD59*VLOOKUP('Données projet'!$B$11,Paramètres!$A$1:$I$89,3,0)*VLOOKUP('Données projet'!$B$11,Paramètres!$A$1:$I$89,5,0)</f>
        <v>-4.1677594708744434E-14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254.00493808294931</v>
      </c>
      <c r="BJ59" s="59">
        <f t="shared" si="38"/>
        <v>365.76175372075869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101.0603952893058</v>
      </c>
      <c r="BQ59" s="21">
        <f>EXP(-LN(2)/25)*BQ58+(1-EXP(-LN(2)/25))/(LN(2)/25)*Calculateur!BL59*Calculateur!BN59*VLOOKUP('Données projet'!$B$11,Paramètres!$A$1:$I$89,3,0)*0.475*44/12</f>
        <v>19.317787200900419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120.37818249020623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-5.3205440053716299E-14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345.45636360520137</v>
      </c>
      <c r="T60" s="59">
        <f t="shared" si="34"/>
        <v>469.30074822262549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233.61158685148482</v>
      </c>
      <c r="AA60" s="21">
        <f>EXP(-LN(2)/25)*AA59+(1-EXP(-LN(2)/25))/(LN(2)/25)*Calculateur!V60*Calculateur!X60*VLOOKUP('Données projet'!$B$9,Paramètres!$A$1:$I$89,3,0)*0.475*44/12</f>
        <v>38.21025037384446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271.82183722532926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-5.6843418860808015E-14</v>
      </c>
      <c r="BE60" s="13">
        <f>BD60*VLOOKUP('Données projet'!$B$11,Paramètres!$A$1:$I$89,3,0)*VLOOKUP('Données projet'!$B$11,Paramètres!$A$1:$I$89,5,0)</f>
        <v>-4.1677594708744434E-14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254.00493808294931</v>
      </c>
      <c r="BJ60" s="59">
        <f t="shared" si="38"/>
        <v>365.76175372075869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99.078662578437118</v>
      </c>
      <c r="BQ60" s="21">
        <f>EXP(-LN(2)/25)*BQ59+(1-EXP(-LN(2)/25))/(LN(2)/25)*Calculateur!BL60*Calculateur!BN60*VLOOKUP('Données projet'!$B$11,Paramètres!$A$1:$I$89,3,0)*0.475*44/12</f>
        <v>18.789541294013521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117.86820387245064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-5.3205440053716299E-14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345.45636360520137</v>
      </c>
      <c r="T61" s="59">
        <f t="shared" si="34"/>
        <v>469.30074822262549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229.03060612232557</v>
      </c>
      <c r="AA61" s="21">
        <f>EXP(-LN(2)/25)*AA60+(1-EXP(-LN(2)/25))/(LN(2)/25)*Calculateur!V61*Calculateur!X61*VLOOKUP('Données projet'!$B$9,Paramètres!$A$1:$I$89,3,0)*0.475*44/12</f>
        <v>37.165389067981948</v>
      </c>
      <c r="AB61" s="21">
        <f>EXP(-LN(2)/2)*AB60+(1-EXP(-LN(2)/2))/(LN(2)/2)*V61*Y61*VLOOKUP('Données projet'!$B$9,Paramètres!$A$1:$I$89,3,0)*0.475*44/12</f>
        <v>0</v>
      </c>
      <c r="AC61" s="22">
        <f t="shared" si="3"/>
        <v>266.19599519030749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-5.6843418860808015E-14</v>
      </c>
      <c r="BE61" s="13">
        <f>BD61*VLOOKUP('Données projet'!$B$11,Paramètres!$A$1:$I$89,3,0)*VLOOKUP('Données projet'!$B$11,Paramètres!$A$1:$I$89,5,0)</f>
        <v>-4.1677594708744434E-14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254.00493808294931</v>
      </c>
      <c r="BJ61" s="59">
        <f t="shared" si="38"/>
        <v>365.76175372075869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97.135790437290979</v>
      </c>
      <c r="BQ61" s="21">
        <f>EXP(-LN(2)/25)*BQ60+(1-EXP(-LN(2)/25))/(LN(2)/25)*Calculateur!BL61*Calculateur!BN61*VLOOKUP('Données projet'!$B$11,Paramètres!$A$1:$I$89,3,0)*0.475*44/12</f>
        <v>18.275740299229689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115.41153073652066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-5.3205440053716299E-14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345.45636360520137</v>
      </c>
      <c r="T62" s="59">
        <f t="shared" si="34"/>
        <v>469.30074822262549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224.53945563114277</v>
      </c>
      <c r="AA62" s="21">
        <f>EXP(-LN(2)/25)*AA61+(1-EXP(-LN(2)/25))/(LN(2)/25)*Calculateur!V62*Calculateur!X62*VLOOKUP('Données projet'!$B$9,Paramètres!$A$1:$I$89,3,0)*0.475*44/12</f>
        <v>36.14909954947511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260.68855518061787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-5.6843418860808015E-14</v>
      </c>
      <c r="BE62" s="13">
        <f>BD62*VLOOKUP('Données projet'!$B$11,Paramètres!$A$1:$I$89,3,0)*VLOOKUP('Données projet'!$B$11,Paramètres!$A$1:$I$89,5,0)</f>
        <v>-4.1677594708744434E-14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254.00493808294931</v>
      </c>
      <c r="BJ62" s="59">
        <f t="shared" si="38"/>
        <v>365.76175372075869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95.23101683379771</v>
      </c>
      <c r="BQ62" s="21">
        <f>EXP(-LN(2)/25)*BQ61+(1-EXP(-LN(2)/25))/(LN(2)/25)*Calculateur!BL62*Calculateur!BN62*VLOOKUP('Données projet'!$B$11,Paramètres!$A$1:$I$89,3,0)*0.475*44/12</f>
        <v>17.775989219667842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113.00700605346555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-5.3205440053716299E-14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345.45636360520137</v>
      </c>
      <c r="T63" s="59">
        <f t="shared" si="34"/>
        <v>469.30074822262549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220.13637386176077</v>
      </c>
      <c r="AA63" s="21">
        <f>EXP(-LN(2)/25)*AA62+(1-EXP(-LN(2)/25))/(LN(2)/25)*Calculateur!V63*Calculateur!X63*VLOOKUP('Données projet'!$B$9,Paramètres!$A$1:$I$89,3,0)*0.475*44/12</f>
        <v>35.160600521296189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255.29697438305698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-5.6843418860808015E-14</v>
      </c>
      <c r="BE63" s="13">
        <f>BD63*VLOOKUP('Données projet'!$B$11,Paramètres!$A$1:$I$89,3,0)*VLOOKUP('Données projet'!$B$11,Paramètres!$A$1:$I$89,5,0)</f>
        <v>-4.1677594708744434E-14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254.00493808294931</v>
      </c>
      <c r="BJ63" s="59">
        <f t="shared" si="38"/>
        <v>365.76175372075869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93.363594678871763</v>
      </c>
      <c r="BQ63" s="21">
        <f>EXP(-LN(2)/25)*BQ62+(1-EXP(-LN(2)/25))/(LN(2)/25)*Calculateur!BL63*Calculateur!BN63*VLOOKUP('Données projet'!$B$11,Paramètres!$A$1:$I$89,3,0)*0.475*44/12</f>
        <v>17.289903859657379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110.65349853852913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-5.3205440053716299E-14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345.45636360520137</v>
      </c>
      <c r="T64" s="59">
        <f t="shared" si="34"/>
        <v>469.30074822262549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215.81963384026164</v>
      </c>
      <c r="AA64" s="21">
        <f>EXP(-LN(2)/25)*AA63+(1-EXP(-LN(2)/25))/(LN(2)/25)*Calculateur!V64*Calculateur!X64*VLOOKUP('Données projet'!$B$9,Paramètres!$A$1:$I$89,3,0)*0.475*44/12</f>
        <v>34.199132051025721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250.01876589128736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-5.6843418860808015E-14</v>
      </c>
      <c r="BE64" s="13">
        <f>BD64*VLOOKUP('Données projet'!$B$11,Paramètres!$A$1:$I$89,3,0)*VLOOKUP('Données projet'!$B$11,Paramètres!$A$1:$I$89,5,0)</f>
        <v>-4.1677594708744434E-14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254.00493808294931</v>
      </c>
      <c r="BJ64" s="59">
        <f t="shared" si="38"/>
        <v>365.76175372075869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91.532791533388874</v>
      </c>
      <c r="BQ64" s="21">
        <f>EXP(-LN(2)/25)*BQ63+(1-EXP(-LN(2)/25))/(LN(2)/25)*Calculateur!BL64*Calculateur!BN64*VLOOKUP('Données projet'!$B$11,Paramètres!$A$1:$I$89,3,0)*0.475*44/12</f>
        <v>16.817110529378521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108.3499020627674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-5.3205440053716299E-14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345.45636360520137</v>
      </c>
      <c r="T65" s="59">
        <f t="shared" si="34"/>
        <v>469.30074822262549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211.58754245763268</v>
      </c>
      <c r="AA65" s="21">
        <f>EXP(-LN(2)/25)*AA64+(1-EXP(-LN(2)/25))/(LN(2)/25)*Calculateur!V65*Calculateur!X65*VLOOKUP('Données projet'!$B$9,Paramètres!$A$1:$I$89,3,0)*0.475*44/12</f>
        <v>33.263954986636229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244.85149744426892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-5.6843418860808015E-14</v>
      </c>
      <c r="BE65" s="13">
        <f>BD65*VLOOKUP('Données projet'!$B$11,Paramètres!$A$1:$I$89,3,0)*VLOOKUP('Données projet'!$B$11,Paramètres!$A$1:$I$89,5,0)</f>
        <v>-4.1677594708744434E-14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254.00493808294931</v>
      </c>
      <c r="BJ65" s="59">
        <f t="shared" si="38"/>
        <v>365.76175372075869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89.737889320909247</v>
      </c>
      <c r="BQ65" s="21">
        <f>EXP(-LN(2)/25)*BQ64+(1-EXP(-LN(2)/25))/(LN(2)/25)*Calculateur!BL65*Calculateur!BN65*VLOOKUP('Données projet'!$B$11,Paramètres!$A$1:$I$89,3,0)*0.475*44/12</f>
        <v>16.357245757579257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106.09513507848851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-5.3205440053716299E-14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345.45636360520137</v>
      </c>
      <c r="T66" s="59">
        <f t="shared" si="34"/>
        <v>469.30074822262549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207.43843980569622</v>
      </c>
      <c r="AA66" s="21">
        <f>EXP(-LN(2)/25)*AA65+(1-EXP(-LN(2)/25))/(LN(2)/25)*Calculateur!V66*Calculateur!X66*VLOOKUP('Données projet'!$B$9,Paramètres!$A$1:$I$89,3,0)*0.475*44/12</f>
        <v>32.354350388251291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239.7927901939475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-5.6843418860808015E-14</v>
      </c>
      <c r="BE66" s="13">
        <f>BD66*VLOOKUP('Données projet'!$B$11,Paramètres!$A$1:$I$89,3,0)*VLOOKUP('Données projet'!$B$11,Paramètres!$A$1:$I$89,5,0)</f>
        <v>-4.1677594708744434E-14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254.00493808294931</v>
      </c>
      <c r="BJ66" s="59">
        <f t="shared" si="38"/>
        <v>365.76175372075869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87.978184046034102</v>
      </c>
      <c r="BQ66" s="21">
        <f>EXP(-LN(2)/25)*BQ65+(1-EXP(-LN(2)/25))/(LN(2)/25)*Calculateur!BL66*Calculateur!BN66*VLOOKUP('Données projet'!$B$11,Paramètres!$A$1:$I$89,3,0)*0.475*44/12</f>
        <v>15.909956012148083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103.88814005818219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-5.3205440053716299E-14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345.45636360520137</v>
      </c>
      <c r="T67" s="59">
        <f t="shared" si="34"/>
        <v>469.30074822262549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203.37069852606149</v>
      </c>
      <c r="AA67" s="21">
        <f>EXP(-LN(2)/25)*AA66+(1-EXP(-LN(2)/25))/(LN(2)/25)*Calculateur!V67*Calculateur!X67*VLOOKUP('Données projet'!$B$9,Paramètres!$A$1:$I$89,3,0)*0.475*44/12</f>
        <v>31.469618975443218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234.8403175015047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-5.6843418860808015E-14</v>
      </c>
      <c r="BE67" s="13">
        <f>BD67*VLOOKUP('Données projet'!$B$11,Paramètres!$A$1:$I$89,3,0)*VLOOKUP('Données projet'!$B$11,Paramètres!$A$1:$I$89,5,0)</f>
        <v>-4.1677594708744434E-14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254.00493808294931</v>
      </c>
      <c r="BJ67" s="59">
        <f t="shared" si="38"/>
        <v>365.76175372075869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86.252985518285016</v>
      </c>
      <c r="BQ67" s="21">
        <f>EXP(-LN(2)/25)*BQ66+(1-EXP(-LN(2)/25))/(LN(2)/25)*Calculateur!BL67*Calculateur!BN67*VLOOKUP('Données projet'!$B$11,Paramètres!$A$1:$I$89,3,0)*0.475*44/12</f>
        <v>15.474897428327669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101.72788294661268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-5.3205440053716299E-14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345.45636360520137</v>
      </c>
      <c r="T68" s="59">
        <f t="shared" si="34"/>
        <v>469.30074822262549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199.3827231718432</v>
      </c>
      <c r="AA68" s="21">
        <f>EXP(-LN(2)/25)*AA67+(1-EXP(-LN(2)/25))/(LN(2)/25)*Calculateur!V68*Calculateur!X68*VLOOKUP('Données projet'!$B$9,Paramètres!$A$1:$I$89,3,0)*0.475*44/12</f>
        <v>30.609080589644385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229.99180376148757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-5.6843418860808015E-14</v>
      </c>
      <c r="BE68" s="13">
        <f>BD68*VLOOKUP('Données projet'!$B$11,Paramètres!$A$1:$I$89,3,0)*VLOOKUP('Données projet'!$B$11,Paramètres!$A$1:$I$89,5,0)</f>
        <v>-4.1677594708744434E-14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254.00493808294931</v>
      </c>
      <c r="BJ68" s="59">
        <f t="shared" si="38"/>
        <v>365.76175372075869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84.561617081397898</v>
      </c>
      <c r="BQ68" s="21">
        <f>EXP(-LN(2)/25)*BQ67+(1-EXP(-LN(2)/25))/(LN(2)/25)*Calculateur!BL68*Calculateur!BN68*VLOOKUP('Données projet'!$B$11,Paramètres!$A$1:$I$89,3,0)*0.475*44/12</f>
        <v>15.051735544360561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99.613352625758466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-5.3205440053716299E-14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345.45636360520137</v>
      </c>
      <c r="T69" s="59">
        <f t="shared" ref="T69:T132" si="88">$T$3</f>
        <v>469.30074822262549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195.47294958189636</v>
      </c>
      <c r="AA69" s="21">
        <f>EXP(-LN(2)/25)*AA68+(1-EXP(-LN(2)/25))/(LN(2)/25)*Calculateur!V69*Calculateur!X69*VLOOKUP('Données projet'!$B$9,Paramètres!$A$1:$I$89,3,0)*0.475*44/12</f>
        <v>29.772073671258969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225.24502325315532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-4.1677594708744434E-14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254.00493808294931</v>
      </c>
      <c r="BJ69" s="59">
        <f t="shared" ref="BJ69:BJ132" si="92">$BJ$3</f>
        <v>365.76175372075869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82.903415347925247</v>
      </c>
      <c r="BQ69" s="21">
        <f>EXP(-LN(2)/25)*BQ68+(1-EXP(-LN(2)/25))/(LN(2)/25)*Calculateur!BL69*Calculateur!BN69*VLOOKUP('Données projet'!$B$11,Paramètres!$A$1:$I$89,3,0)*0.475*44/12</f>
        <v>14.640145044363651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97.543560392288896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-5.3205440053716299E-14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345.45636360520137</v>
      </c>
      <c r="T70" s="59">
        <f t="shared" si="88"/>
        <v>469.30074822262549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191.63984426732196</v>
      </c>
      <c r="AA70" s="21">
        <f>EXP(-LN(2)/25)*AA69+(1-EXP(-LN(2)/25))/(LN(2)/25)*Calculateur!V70*Calculateur!X70*VLOOKUP('Données projet'!$B$9,Paramètres!$A$1:$I$89,3,0)*0.475*44/12</f>
        <v>28.957954751073082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220.59779901839505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-4.1677594708744434E-14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254.00493808294931</v>
      </c>
      <c r="BJ70" s="59">
        <f t="shared" si="92"/>
        <v>365.76175372075869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81.277729939042814</v>
      </c>
      <c r="BQ70" s="21">
        <f>EXP(-LN(2)/25)*BQ69+(1-EXP(-LN(2)/25))/(LN(2)/25)*Calculateur!BL70*Calculateur!BN70*VLOOKUP('Données projet'!$B$11,Paramètres!$A$1:$I$89,3,0)*0.475*44/12</f>
        <v>14.23980950823376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95.517539447276576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-5.3205440053716299E-14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345.45636360520137</v>
      </c>
      <c r="T71" s="59">
        <f t="shared" si="88"/>
        <v>469.30074822262549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187.88190381000297</v>
      </c>
      <c r="AA71" s="21">
        <f>EXP(-LN(2)/25)*AA70+(1-EXP(-LN(2)/25))/(LN(2)/25)*Calculateur!V71*Calculateur!X71*VLOOKUP('Données projet'!$B$9,Paramètres!$A$1:$I$89,3,0)*0.475*44/12</f>
        <v>28.166097955572333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216.04800176557529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-4.1677594708744434E-14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254.00493808294931</v>
      </c>
      <c r="BJ71" s="59">
        <f t="shared" si="92"/>
        <v>365.76175372075869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79.683923229458372</v>
      </c>
      <c r="BQ71" s="21">
        <f>EXP(-LN(2)/25)*BQ70+(1-EXP(-LN(2)/25))/(LN(2)/25)*Calculateur!BL71*Calculateur!BN71*VLOOKUP('Données projet'!$B$11,Paramètres!$A$1:$I$89,3,0)*0.475*44/12</f>
        <v>13.850421168392071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93.534344397850447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-5.3205440053716299E-14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345.45636360520137</v>
      </c>
      <c r="T72" s="59">
        <f t="shared" si="88"/>
        <v>469.30074822262549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184.19765427293464</v>
      </c>
      <c r="AA72" s="21">
        <f>EXP(-LN(2)/25)*AA71+(1-EXP(-LN(2)/25))/(LN(2)/25)*Calculateur!V72*Calculateur!X72*VLOOKUP('Données projet'!$B$9,Paramètres!$A$1:$I$89,3,0)*0.475*44/12</f>
        <v>27.395894525786492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211.59354879872114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-4.1677594708744434E-14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254.00493808294931</v>
      </c>
      <c r="BJ72" s="59">
        <f t="shared" si="92"/>
        <v>365.76175372075869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78.121370097322782</v>
      </c>
      <c r="BQ72" s="21">
        <f>EXP(-LN(2)/25)*BQ71+(1-EXP(-LN(2)/25))/(LN(2)/25)*Calculateur!BL72*Calculateur!BN72*VLOOKUP('Données projet'!$B$11,Paramètres!$A$1:$I$89,3,0)*0.475*44/12</f>
        <v>13.471680673180396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91.593050770503183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-5.3205440053716299E-14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345.45636360520137</v>
      </c>
      <c r="T73" s="59">
        <f t="shared" si="88"/>
        <v>469.30074822262549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180.58565062211792</v>
      </c>
      <c r="AA73" s="21">
        <f>EXP(-LN(2)/25)*AA72+(1-EXP(-LN(2)/25))/(LN(2)/25)*Calculateur!V73*Calculateur!X73*VLOOKUP('Données projet'!$B$9,Paramètres!$A$1:$I$89,3,0)*0.475*44/12</f>
        <v>26.646752349291383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207.2324029714093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-4.1677594708744434E-14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254.00493808294931</v>
      </c>
      <c r="BJ73" s="59">
        <f t="shared" si="92"/>
        <v>365.76175372075869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76.589457679045054</v>
      </c>
      <c r="BQ73" s="21">
        <f>EXP(-LN(2)/25)*BQ72+(1-EXP(-LN(2)/25))/(LN(2)/25)*Calculateur!BL73*Calculateur!BN73*VLOOKUP('Données projet'!$B$11,Paramètres!$A$1:$I$89,3,0)*0.475*44/12</f>
        <v>13.103296856727381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89.692754535772437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-5.3205440053716299E-14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345.45636360520137</v>
      </c>
      <c r="T74" s="59">
        <f t="shared" si="88"/>
        <v>469.30074822262549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177.04447615978901</v>
      </c>
      <c r="AA74" s="21">
        <f>EXP(-LN(2)/25)*AA73+(1-EXP(-LN(2)/25))/(LN(2)/25)*Calculateur!V74*Calculateur!X74*VLOOKUP('Données projet'!$B$9,Paramètres!$A$1:$I$89,3,0)*0.475*44/12</f>
        <v>25.918095505008207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202.96257166479722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-4.1677594708744434E-14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254.00493808294931</v>
      </c>
      <c r="BJ74" s="59">
        <f t="shared" si="92"/>
        <v>365.76175372075869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75.08758512891545</v>
      </c>
      <c r="BQ74" s="21">
        <f>EXP(-LN(2)/25)*BQ73+(1-EXP(-LN(2)/25))/(LN(2)/25)*Calculateur!BL74*Calculateur!BN74*VLOOKUP('Données projet'!$B$11,Paramètres!$A$1:$I$89,3,0)*0.475*44/12</f>
        <v>12.744986515107737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87.83257164402319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-5.3205440053716299E-14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345.45636360520137</v>
      </c>
      <c r="T75" s="59">
        <f t="shared" si="88"/>
        <v>469.30074822262549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173.57274196876324</v>
      </c>
      <c r="AA75" s="21">
        <f>EXP(-LN(2)/25)*AA74+(1-EXP(-LN(2)/25))/(LN(2)/25)*Calculateur!V75*Calculateur!X75*VLOOKUP('Données projet'!$B$9,Paramètres!$A$1:$I$89,3,0)*0.475*44/12</f>
        <v>25.209363820450353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198.7821057892136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-4.1677594708744434E-14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254.00493808294931</v>
      </c>
      <c r="BJ75" s="59">
        <f t="shared" si="92"/>
        <v>365.76175372075869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73.615163383442081</v>
      </c>
      <c r="BQ75" s="21">
        <f>EXP(-LN(2)/25)*BQ74+(1-EXP(-LN(2)/25))/(LN(2)/25)*Calculateur!BL75*Calculateur!BN75*VLOOKUP('Données projet'!$B$11,Paramètres!$A$1:$I$89,3,0)*0.475*44/12</f>
        <v>12.396474188622404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86.011637572064487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-5.3205440053716299E-14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345.45636360520137</v>
      </c>
      <c r="T76" s="59">
        <f t="shared" si="88"/>
        <v>469.30074822262549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170.16908636767471</v>
      </c>
      <c r="AA76" s="21">
        <f>EXP(-LN(2)/25)*AA75+(1-EXP(-LN(2)/25))/(LN(2)/25)*Calculateur!V76*Calculateur!X76*VLOOKUP('Données projet'!$B$9,Paramètres!$A$1:$I$89,3,0)*0.475*44/12</f>
        <v>24.520012441077313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194.68909880875202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-4.1677594708744434E-14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254.00493808294931</v>
      </c>
      <c r="BJ76" s="59">
        <f t="shared" si="92"/>
        <v>365.76175372075869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72.171614930308863</v>
      </c>
      <c r="BQ76" s="21">
        <f>EXP(-LN(2)/25)*BQ75+(1-EXP(-LN(2)/25))/(LN(2)/25)*Calculateur!BL76*Calculateur!BN76*VLOOKUP('Données projet'!$B$11,Paramètres!$A$1:$I$89,3,0)*0.475*44/12</f>
        <v>12.057491950032279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84.229106880341135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-5.3205440053716299E-14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345.45636360520137</v>
      </c>
      <c r="T77" s="59">
        <f t="shared" si="88"/>
        <v>469.30074822262549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166.83217437689859</v>
      </c>
      <c r="AA77" s="21">
        <f>EXP(-LN(2)/25)*AA76+(1-EXP(-LN(2)/25))/(LN(2)/25)*Calculateur!V77*Calculateur!X77*VLOOKUP('Données projet'!$B$9,Paramètres!$A$1:$I$89,3,0)*0.475*44/12</f>
        <v>23.84951141142464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190.68168578832322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-4.1677594708744434E-14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254.00493808294931</v>
      </c>
      <c r="BJ77" s="59">
        <f t="shared" si="92"/>
        <v>365.76175372075869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70.756373581863969</v>
      </c>
      <c r="BQ77" s="21">
        <f>EXP(-LN(2)/25)*BQ76+(1-EXP(-LN(2)/25))/(LN(2)/25)*Calculateur!BL77*Calculateur!BN77*VLOOKUP('Données projet'!$B$11,Paramètres!$A$1:$I$89,3,0)*0.475*44/12</f>
        <v>11.727779198582702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82.484152780446664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-5.3205440053716299E-14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345.45636360520137</v>
      </c>
      <c r="T78" s="59">
        <f t="shared" si="88"/>
        <v>469.30074822262549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163.56069719494624</v>
      </c>
      <c r="AA78" s="21">
        <f>EXP(-LN(2)/25)*AA77+(1-EXP(-LN(2)/25))/(LN(2)/25)*Calculateur!V78*Calculateur!X78*VLOOKUP('Données projet'!$B$9,Paramètres!$A$1:$I$89,3,0)*0.475*44/12</f>
        <v>23.197345267687936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186.75804246263419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-4.1677594708744434E-14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254.00493808294931</v>
      </c>
      <c r="BJ78" s="59">
        <f t="shared" si="92"/>
        <v>365.76175372075869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69.368884253050084</v>
      </c>
      <c r="BQ78" s="21">
        <f>EXP(-LN(2)/25)*BQ77+(1-EXP(-LN(2)/25))/(LN(2)/25)*Calculateur!BL78*Calculateur!BN78*VLOOKUP('Données projet'!$B$11,Paramètres!$A$1:$I$89,3,0)*0.475*44/12</f>
        <v>11.407082459660355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80.775966712710442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-5.3205440053716299E-14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345.45636360520137</v>
      </c>
      <c r="T79" s="59">
        <f t="shared" si="88"/>
        <v>469.30074822262549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160.35337168512794</v>
      </c>
      <c r="AA79" s="21">
        <f>EXP(-LN(2)/25)*AA78+(1-EXP(-LN(2)/25))/(LN(2)/25)*Calculateur!V79*Calculateur!X79*VLOOKUP('Données projet'!$B$9,Paramètres!$A$1:$I$89,3,0)*0.475*44/12</f>
        <v>22.563012641447639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182.91638432657558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-4.1677594708744434E-14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254.00493808294931</v>
      </c>
      <c r="BJ79" s="59">
        <f t="shared" si="92"/>
        <v>365.76175372075869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68.008602743689323</v>
      </c>
      <c r="BQ79" s="21">
        <f>EXP(-LN(2)/25)*BQ78+(1-EXP(-LN(2)/25))/(LN(2)/25)*Calculateur!BL79*Calculateur!BN79*VLOOKUP('Données projet'!$B$11,Paramètres!$A$1:$I$89,3,0)*0.475*44/12</f>
        <v>11.095155189928548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79.103757933617871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-5.3205440053716299E-14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345.45636360520137</v>
      </c>
      <c r="T80" s="59">
        <f t="shared" si="88"/>
        <v>469.30074822262549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157.20893987228177</v>
      </c>
      <c r="AA80" s="21">
        <f>EXP(-LN(2)/25)*AA79+(1-EXP(-LN(2)/25))/(LN(2)/25)*Calculateur!V80*Calculateur!X80*VLOOKUP('Données projet'!$B$9,Paramètres!$A$1:$I$89,3,0)*0.475*44/12</f>
        <v>21.946025874229985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179.15496574651175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-4.1677594708744434E-14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254.00493808294931</v>
      </c>
      <c r="BJ80" s="59">
        <f t="shared" si="92"/>
        <v>365.76175372075869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66.674995525037332</v>
      </c>
      <c r="BQ80" s="21">
        <f>EXP(-LN(2)/25)*BQ79+(1-EXP(-LN(2)/25))/(LN(2)/25)*Calculateur!BL80*Calculateur!BN80*VLOOKUP('Données projet'!$B$11,Paramètres!$A$1:$I$89,3,0)*0.475*44/12</f>
        <v>10.791757587791098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77.466753112828428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-5.3205440053716299E-14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345.45636360520137</v>
      </c>
      <c r="T81" s="59">
        <f t="shared" si="88"/>
        <v>469.30074822262549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154.12616844937151</v>
      </c>
      <c r="AA81" s="21">
        <f>EXP(-LN(2)/25)*AA80+(1-EXP(-LN(2)/25))/(LN(2)/25)*Calculateur!V81*Calculateur!X81*VLOOKUP('Données projet'!$B$9,Paramètres!$A$1:$I$89,3,0)*0.475*44/12</f>
        <v>21.345910642607823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175.47207909197934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-4.1677594708744434E-14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254.00493808294931</v>
      </c>
      <c r="BJ81" s="59">
        <f t="shared" si="92"/>
        <v>365.76175372075869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65.367539530523018</v>
      </c>
      <c r="BQ81" s="21">
        <f>EXP(-LN(2)/25)*BQ80+(1-EXP(-LN(2)/25))/(LN(2)/25)*Calculateur!BL81*Calculateur!BN81*VLOOKUP('Données projet'!$B$11,Paramètres!$A$1:$I$89,3,0)*0.475*44/12</f>
        <v>10.496656409039083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75.864195939562109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-5.3205440053716299E-14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345.45636360520137</v>
      </c>
      <c r="T82" s="59">
        <f t="shared" si="88"/>
        <v>469.30074822262549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151.1038482937596</v>
      </c>
      <c r="AA82" s="21">
        <f>EXP(-LN(2)/25)*AA81+(1-EXP(-LN(2)/25))/(LN(2)/25)*Calculateur!V82*Calculateur!X82*VLOOKUP('Données projet'!$B$9,Paramètres!$A$1:$I$89,3,0)*0.475*44/12</f>
        <v>20.762205593553059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171.86605388731266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-4.1677594708744434E-14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254.00493808294931</v>
      </c>
      <c r="BJ82" s="59">
        <f t="shared" si="92"/>
        <v>365.76175372075869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64.085721950591719</v>
      </c>
      <c r="BQ82" s="21">
        <f>EXP(-LN(2)/25)*BQ81+(1-EXP(-LN(2)/25))/(LN(2)/25)*Calculateur!BL82*Calculateur!BN82*VLOOKUP('Données projet'!$B$11,Paramètres!$A$1:$I$89,3,0)*0.475*44/12</f>
        <v>10.20962478753874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74.295346738130462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-5.3205440053716299E-14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345.45636360520137</v>
      </c>
      <c r="T83" s="59">
        <f t="shared" si="88"/>
        <v>469.30074822262549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148.14079399296597</v>
      </c>
      <c r="AA83" s="21">
        <f>EXP(-LN(2)/25)*AA82+(1-EXP(-LN(2)/25))/(LN(2)/25)*Calculateur!V83*Calculateur!X83*VLOOKUP('Données projet'!$B$9,Paramètres!$A$1:$I$89,3,0)*0.475*44/12</f>
        <v>20.194461989760413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168.33525598272638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-4.1677594708744434E-14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254.00493808294931</v>
      </c>
      <c r="BJ83" s="59">
        <f t="shared" si="92"/>
        <v>365.76175372075869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62.829040031571346</v>
      </c>
      <c r="BQ83" s="21">
        <f>EXP(-LN(2)/25)*BQ82+(1-EXP(-LN(2)/25))/(LN(2)/25)*Calculateur!BL83*Calculateur!BN83*VLOOKUP('Données projet'!$B$11,Paramètres!$A$1:$I$89,3,0)*0.475*44/12</f>
        <v>9.93044206082266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72.759482092394009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-5.3205440053716299E-14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345.45636360520137</v>
      </c>
      <c r="T84" s="59">
        <f t="shared" si="88"/>
        <v>469.30074822262549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145.23584337972622</v>
      </c>
      <c r="AA84" s="21">
        <f>EXP(-LN(2)/25)*AA83+(1-EXP(-LN(2)/25))/(LN(2)/25)*Calculateur!V84*Calculateur!X84*VLOOKUP('Données projet'!$B$9,Paramètres!$A$1:$I$89,3,0)*0.475*44/12</f>
        <v>19.642243364669813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164.87808674439603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-4.1677594708744434E-14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254.00493808294931</v>
      </c>
      <c r="BJ84" s="59">
        <f t="shared" si="92"/>
        <v>365.76175372075869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61.597000878482675</v>
      </c>
      <c r="BQ84" s="21">
        <f>EXP(-LN(2)/25)*BQ83+(1-EXP(-LN(2)/25))/(LN(2)/25)*Calculateur!BL84*Calculateur!BN84*VLOOKUP('Données projet'!$B$11,Paramètres!$A$1:$I$89,3,0)*0.475*44/12</f>
        <v>9.6588936004502131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71.255894478932888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-5.3205440053716299E-14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345.45636360520137</v>
      </c>
      <c r="T85" s="59">
        <f t="shared" si="88"/>
        <v>469.30074822262549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142.38785707616719</v>
      </c>
      <c r="AA85" s="21">
        <f>EXP(-LN(2)/25)*AA84+(1-EXP(-LN(2)/25))/(LN(2)/25)*Calculateur!V85*Calculateur!X85*VLOOKUP('Données projet'!$B$9,Paramètres!$A$1:$I$89,3,0)*0.475*44/12</f>
        <v>19.10512518692223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161.49298226308943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-4.1677594708744434E-14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254.00493808294931</v>
      </c>
      <c r="BJ85" s="59">
        <f t="shared" si="92"/>
        <v>365.76175372075869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60.38912126171639</v>
      </c>
      <c r="BQ85" s="21">
        <f>EXP(-LN(2)/25)*BQ84+(1-EXP(-LN(2)/25))/(LN(2)/25)*Calculateur!BL85*Calculateur!BN85*VLOOKUP('Données projet'!$B$11,Paramètres!$A$1:$I$89,3,0)*0.475*44/12</f>
        <v>9.394770647006764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69.783891908723149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-5.3205440053716299E-14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345.45636360520137</v>
      </c>
      <c r="T86" s="59">
        <f t="shared" si="88"/>
        <v>469.30074822262549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139.59571804692084</v>
      </c>
      <c r="AA86" s="21">
        <f>EXP(-LN(2)/25)*AA85+(1-EXP(-LN(2)/25))/(LN(2)/25)*Calculateur!V86*Calculateur!X86*VLOOKUP('Données projet'!$B$9,Paramètres!$A$1:$I$89,3,0)*0.475*44/12</f>
        <v>18.582694533990974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158.17841258091181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-4.1677594708744434E-14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254.00493808294931</v>
      </c>
      <c r="BJ86" s="59">
        <f t="shared" si="92"/>
        <v>365.76175372075869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59.204927427501076</v>
      </c>
      <c r="BQ86" s="21">
        <f>EXP(-LN(2)/25)*BQ85+(1-EXP(-LN(2)/25))/(LN(2)/25)*Calculateur!BL86*Calculateur!BN86*VLOOKUP('Données projet'!$B$11,Paramètres!$A$1:$I$89,3,0)*0.475*44/12</f>
        <v>9.137870149614848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68.342797577115931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-5.3205440053716299E-14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345.45636360520137</v>
      </c>
      <c r="T87" s="59">
        <f t="shared" si="88"/>
        <v>469.30074822262549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136.85833116100136</v>
      </c>
      <c r="AA87" s="21">
        <f>EXP(-LN(2)/25)*AA86+(1-EXP(-LN(2)/25))/(LN(2)/25)*Calculateur!V87*Calculateur!X87*VLOOKUP('Données projet'!$B$9,Paramètres!$A$1:$I$89,3,0)*0.475*44/12</f>
        <v>18.074549774737555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154.93288093573892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-4.1677594708744434E-14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254.00493808294931</v>
      </c>
      <c r="BJ87" s="59">
        <f t="shared" si="92"/>
        <v>365.76175372075869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58.043954912087806</v>
      </c>
      <c r="BQ87" s="21">
        <f>EXP(-LN(2)/25)*BQ86+(1-EXP(-LN(2)/25))/(LN(2)/25)*Calculateur!BL87*Calculateur!BN87*VLOOKUP('Données projet'!$B$11,Paramètres!$A$1:$I$89,3,0)*0.475*44/12</f>
        <v>8.8879946098339229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66.931949521921723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-5.3205440053716299E-14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345.45636360520137</v>
      </c>
      <c r="T88" s="59">
        <f t="shared" si="88"/>
        <v>469.30074822262549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134.17462276227363</v>
      </c>
      <c r="AA88" s="21">
        <f>EXP(-LN(2)/25)*AA87+(1-EXP(-LN(2)/25))/(LN(2)/25)*Calculateur!V88*Calculateur!X88*VLOOKUP('Données projet'!$B$9,Paramètres!$A$1:$I$89,3,0)*0.475*44/12</f>
        <v>17.580300260648094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151.75492302292173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-4.1677594708744434E-14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254.00493808294931</v>
      </c>
      <c r="BJ88" s="59">
        <f t="shared" si="92"/>
        <v>365.76175372075869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56.905748359578475</v>
      </c>
      <c r="BQ88" s="21">
        <f>EXP(-LN(2)/25)*BQ87+(1-EXP(-LN(2)/25))/(LN(2)/25)*Calculateur!BL88*Calculateur!BN88*VLOOKUP('Données projet'!$B$11,Paramètres!$A$1:$I$89,3,0)*0.475*44/12</f>
        <v>8.6449519298286912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65.55070028940716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-5.3205440053716299E-14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345.45636360520137</v>
      </c>
      <c r="T89" s="59">
        <f t="shared" si="88"/>
        <v>469.30074822262549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131.54354024834444</v>
      </c>
      <c r="AA89" s="21">
        <f>EXP(-LN(2)/25)*AA88+(1-EXP(-LN(2)/25))/(LN(2)/25)*Calculateur!V89*Calculateur!X89*VLOOKUP('Données projet'!$B$9,Paramètres!$A$1:$I$89,3,0)*0.475*44/12</f>
        <v>17.099566025512861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148.64310627385731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-4.1677594708744434E-14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254.00493808294931</v>
      </c>
      <c r="BJ89" s="59">
        <f t="shared" si="92"/>
        <v>365.76175372075869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55.7898613433264</v>
      </c>
      <c r="BQ89" s="21">
        <f>EXP(-LN(2)/25)*BQ88+(1-EXP(-LN(2)/25))/(LN(2)/25)*Calculateur!BL89*Calculateur!BN89*VLOOKUP('Données projet'!$B$11,Paramètres!$A$1:$I$89,3,0)*0.475*44/12</f>
        <v>8.4085552646892623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64.198416608015663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-5.3205440053716299E-14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345.45636360520137</v>
      </c>
      <c r="T90" s="59">
        <f t="shared" si="88"/>
        <v>469.30074822262549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128.96405165771154</v>
      </c>
      <c r="AA90" s="21">
        <f>EXP(-LN(2)/25)*AA89+(1-EXP(-LN(2)/25))/(LN(2)/25)*Calculateur!V90*Calculateur!X90*VLOOKUP('Données projet'!$B$9,Paramètres!$A$1:$I$89,3,0)*0.475*44/12</f>
        <v>16.631977493318114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145.59602915102965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-4.1677594708744434E-14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254.00493808294931</v>
      </c>
      <c r="BJ90" s="59">
        <f t="shared" si="92"/>
        <v>365.76175372075869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54.695856190839159</v>
      </c>
      <c r="BQ90" s="21">
        <f>EXP(-LN(2)/25)*BQ89+(1-EXP(-LN(2)/25))/(LN(2)/25)*Calculateur!BL90*Calculateur!BN90*VLOOKUP('Données projet'!$B$11,Paramètres!$A$1:$I$89,3,0)*0.475*44/12</f>
        <v>8.1786228787896302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62.874479069628791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-5.3205440053716299E-14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345.45636360520137</v>
      </c>
      <c r="T91" s="59">
        <f t="shared" si="88"/>
        <v>469.30074822262549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126.43514526500826</v>
      </c>
      <c r="AA91" s="21">
        <f>EXP(-LN(2)/25)*AA90+(1-EXP(-LN(2)/25))/(LN(2)/25)*Calculateur!V91*Calculateur!X91*VLOOKUP('Données projet'!$B$9,Paramètres!$A$1:$I$89,3,0)*0.475*44/12</f>
        <v>16.177175194125645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142.61232045913391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-4.1677594708744434E-14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254.00493808294931</v>
      </c>
      <c r="BJ91" s="59">
        <f t="shared" si="92"/>
        <v>365.76175372075869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53.623303812114933</v>
      </c>
      <c r="BQ91" s="21">
        <f>EXP(-LN(2)/25)*BQ90+(1-EXP(-LN(2)/25))/(LN(2)/25)*Calculateur!BL91*Calculateur!BN91*VLOOKUP('Données projet'!$B$11,Paramètres!$A$1:$I$89,3,0)*0.475*44/12</f>
        <v>7.9549780060740432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61.578281818188977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-5.3205440053716299E-14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345.45636360520137</v>
      </c>
      <c r="T92" s="59">
        <f t="shared" si="88"/>
        <v>469.30074822262549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123.9558291841853</v>
      </c>
      <c r="AA92" s="21">
        <f>EXP(-LN(2)/25)*AA91+(1-EXP(-LN(2)/25))/(LN(2)/25)*Calculateur!V92*Calculateur!X92*VLOOKUP('Données projet'!$B$9,Paramètres!$A$1:$I$89,3,0)*0.475*44/12</f>
        <v>15.734809487721609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139.69063867190692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-4.1677594708744434E-14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254.00493808294931</v>
      </c>
      <c r="BJ92" s="59">
        <f t="shared" si="92"/>
        <v>365.76175372075869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52.57178353134514</v>
      </c>
      <c r="BQ92" s="21">
        <f>EXP(-LN(2)/25)*BQ91+(1-EXP(-LN(2)/25))/(LN(2)/25)*Calculateur!BL92*Calculateur!BN92*VLOOKUP('Données projet'!$B$11,Paramètres!$A$1:$I$89,3,0)*0.475*44/12</f>
        <v>7.7374487141638362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60.30923224550898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-5.3205440053716299E-14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345.45636360520137</v>
      </c>
      <c r="T93" s="59">
        <f t="shared" si="88"/>
        <v>469.30074822262549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121.5251309794738</v>
      </c>
      <c r="AA93" s="21">
        <f>EXP(-LN(2)/25)*AA92+(1-EXP(-LN(2)/25))/(LN(2)/25)*Calculateur!V93*Calculateur!X93*VLOOKUP('Données projet'!$B$9,Paramètres!$A$1:$I$89,3,0)*0.475*44/12</f>
        <v>15.304540294822193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136.829671274296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-4.1677594708744434E-14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254.00493808294931</v>
      </c>
      <c r="BJ93" s="59">
        <f t="shared" si="92"/>
        <v>365.76175372075869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51.540882921917202</v>
      </c>
      <c r="BQ93" s="21">
        <f>EXP(-LN(2)/25)*BQ92+(1-EXP(-LN(2)/25))/(LN(2)/25)*Calculateur!BL93*Calculateur!BN93*VLOOKUP('Données projet'!$B$11,Paramètres!$A$1:$I$89,3,0)*0.475*44/12</f>
        <v>7.5258677721802822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59.066750694097486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-5.3205440053716299E-14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345.45636360520137</v>
      </c>
      <c r="T94" s="59">
        <f t="shared" si="88"/>
        <v>469.30074822262549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119.14209728397718</v>
      </c>
      <c r="AA94" s="21">
        <f>EXP(-LN(2)/25)*AA93+(1-EXP(-LN(2)/25))/(LN(2)/25)*Calculateur!V94*Calculateur!X94*VLOOKUP('Données projet'!$B$9,Paramètres!$A$1:$I$89,3,0)*0.475*44/12</f>
        <v>14.886036835629485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134.02813411960668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-4.1677594708744434E-14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254.00493808294931</v>
      </c>
      <c r="BJ94" s="59">
        <f t="shared" si="92"/>
        <v>365.76175372075869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50.530197644652858</v>
      </c>
      <c r="BQ94" s="21">
        <f>EXP(-LN(2)/25)*BQ93+(1-EXP(-LN(2)/25))/(LN(2)/25)*Calculateur!BL94*Calculateur!BN94*VLOOKUP('Données projet'!$B$11,Paramètres!$A$1:$I$89,3,0)*0.475*44/12</f>
        <v>7.3200725221818272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57.850270166834683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-5.3205440053716299E-14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345.45636360520137</v>
      </c>
      <c r="T95" s="59">
        <f t="shared" si="88"/>
        <v>469.30074822262549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116.80579342574221</v>
      </c>
      <c r="AA95" s="21">
        <f>EXP(-LN(2)/25)*AA94+(1-EXP(-LN(2)/25))/(LN(2)/25)*Calculateur!V95*Calculateur!X95*VLOOKUP('Données projet'!$B$9,Paramètres!$A$1:$I$89,3,0)*0.475*44/12</f>
        <v>14.478977375536541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131.28477080127874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-4.1677594708744434E-14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254.00493808294931</v>
      </c>
      <c r="BJ95" s="59">
        <f t="shared" si="92"/>
        <v>365.76175372075869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49.539331289218516</v>
      </c>
      <c r="BQ95" s="21">
        <f>EXP(-LN(2)/25)*BQ94+(1-EXP(-LN(2)/25))/(LN(2)/25)*Calculateur!BL95*Calculateur!BN95*VLOOKUP('Données projet'!$B$11,Paramètres!$A$1:$I$89,3,0)*0.475*44/12</f>
        <v>7.1199047541168818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56.659236043335397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-5.3205440053716299E-14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345.45636360520137</v>
      </c>
      <c r="T96" s="59">
        <f t="shared" si="88"/>
        <v>469.30074822262549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114.51530306116258</v>
      </c>
      <c r="AA96" s="21">
        <f>EXP(-LN(2)/25)*AA95+(1-EXP(-LN(2)/25))/(LN(2)/25)*Calculateur!V96*Calculateur!X96*VLOOKUP('Données projet'!$B$9,Paramètres!$A$1:$I$89,3,0)*0.475*44/12</f>
        <v>14.083048977786166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128.59835203894875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-4.1677594708744434E-14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254.00493808294931</v>
      </c>
      <c r="BJ96" s="59">
        <f t="shared" si="92"/>
        <v>365.76175372075869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48.567895218645447</v>
      </c>
      <c r="BQ96" s="21">
        <f>EXP(-LN(2)/25)*BQ95+(1-EXP(-LN(2)/25))/(LN(2)/25)*Calculateur!BL96*Calculateur!BN96*VLOOKUP('Données projet'!$B$11,Paramètres!$A$1:$I$89,3,0)*0.475*44/12</f>
        <v>6.9252105841960372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55.493105802841484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-5.3205440053716299E-14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345.45636360520137</v>
      </c>
      <c r="T97" s="59">
        <f t="shared" si="88"/>
        <v>469.30074822262549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112.26972781557119</v>
      </c>
      <c r="AA97" s="21">
        <f>EXP(-LN(2)/25)*AA96+(1-EXP(-LN(2)/25))/(LN(2)/25)*Calculateur!V97*Calculateur!X97*VLOOKUP('Données projet'!$B$9,Paramètres!$A$1:$I$89,3,0)*0.475*44/12</f>
        <v>13.697947262893246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125.96767507846444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-4.1677594708744434E-14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254.00493808294931</v>
      </c>
      <c r="BJ97" s="59">
        <f t="shared" si="92"/>
        <v>365.76175372075869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47.615508416898813</v>
      </c>
      <c r="BQ97" s="21">
        <f>EXP(-LN(2)/25)*BQ96+(1-EXP(-LN(2)/25))/(LN(2)/25)*Calculateur!BL97*Calculateur!BN97*VLOOKUP('Données projet'!$B$11,Paramètres!$A$1:$I$89,3,0)*0.475*44/12</f>
        <v>6.7358403365901998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54.351348753489013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-5.3205440053716299E-14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345.45636360520137</v>
      </c>
      <c r="T98" s="59">
        <f t="shared" si="88"/>
        <v>469.30074822262549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110.06818693088019</v>
      </c>
      <c r="AA98" s="21">
        <f>EXP(-LN(2)/25)*AA97+(1-EXP(-LN(2)/25))/(LN(2)/25)*Calculateur!V98*Calculateur!X98*VLOOKUP('Données projet'!$B$9,Paramètres!$A$1:$I$89,3,0)*0.475*44/12</f>
        <v>13.323376174645691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123.39156310552588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-4.1677594708744434E-14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254.00493808294931</v>
      </c>
      <c r="BJ98" s="59">
        <f t="shared" si="92"/>
        <v>365.76175372075869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46.681797339435846</v>
      </c>
      <c r="BQ98" s="21">
        <f>EXP(-LN(2)/25)*BQ97+(1-EXP(-LN(2)/25))/(LN(2)/25)*Calculateur!BL98*Calculateur!BN98*VLOOKUP('Données projet'!$B$11,Paramètres!$A$1:$I$89,3,0)*0.475*44/12</f>
        <v>6.5516484283636922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53.233445767799537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-5.3205440053716299E-14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345.45636360520137</v>
      </c>
      <c r="T99" s="59">
        <f t="shared" si="88"/>
        <v>469.30074822262549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107.90981692013062</v>
      </c>
      <c r="AA99" s="21">
        <f>EXP(-LN(2)/25)*AA98+(1-EXP(-LN(2)/25))/(LN(2)/25)*Calculateur!V99*Calculateur!X99*VLOOKUP('Données projet'!$B$9,Paramètres!$A$1:$I$89,3,0)*0.475*44/12</f>
        <v>12.959047752504103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120.86886467263473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-4.1677594708744434E-14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254.00493808294931</v>
      </c>
      <c r="BJ99" s="59">
        <f t="shared" si="92"/>
        <v>365.76175372075869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45.766395766694401</v>
      </c>
      <c r="BQ99" s="21">
        <f>EXP(-LN(2)/25)*BQ98+(1-EXP(-LN(2)/25))/(LN(2)/25)*Calculateur!BL99*Calculateur!BN99*VLOOKUP('Données projet'!$B$11,Paramètres!$A$1:$I$89,3,0)*0.475*44/12</f>
        <v>6.3724932575538702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52.138889024248272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-5.3205440053716299E-14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345.45636360520137</v>
      </c>
      <c r="T100" s="59">
        <f t="shared" si="88"/>
        <v>469.30074822262549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105.79377122881614</v>
      </c>
      <c r="AA100" s="21">
        <f>EXP(-LN(2)/25)*AA99+(1-EXP(-LN(2)/25))/(LN(2)/25)*Calculateur!V100*Calculateur!X100*VLOOKUP('Données projet'!$B$9,Paramètres!$A$1:$I$89,3,0)*0.475*44/12</f>
        <v>12.604681910225176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118.39845313904132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-4.1677594708744434E-14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254.00493808294931</v>
      </c>
      <c r="BJ100" s="59">
        <f t="shared" si="92"/>
        <v>365.76175372075869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44.868944660454588</v>
      </c>
      <c r="BQ100" s="21">
        <f>EXP(-LN(2)/25)*BQ99+(1-EXP(-LN(2)/25))/(LN(2)/25)*Calculateur!BL100*Calculateur!BN100*VLOOKUP('Données projet'!$B$11,Paramètres!$A$1:$I$89,3,0)*0.475*44/12</f>
        <v>6.198237094311204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51.067181754765791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-5.3205440053716299E-14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345.45636360520137</v>
      </c>
      <c r="T101" s="59">
        <f t="shared" si="88"/>
        <v>469.30074822262549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103.71921990284791</v>
      </c>
      <c r="AA101" s="21">
        <f>EXP(-LN(2)/25)*AA100+(1-EXP(-LN(2)/25))/(LN(2)/25)*Calculateur!V101*Calculateur!X101*VLOOKUP('Données projet'!$B$9,Paramètres!$A$1:$I$89,3,0)*0.475*44/12</f>
        <v>12.260006220538656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115.97922612338657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-4.1677594708744434E-14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254.00493808294931</v>
      </c>
      <c r="BJ101" s="59">
        <f t="shared" si="92"/>
        <v>365.76175372075869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43.989092023017015</v>
      </c>
      <c r="BQ101" s="21">
        <f>EXP(-LN(2)/25)*BQ100+(1-EXP(-LN(2)/25))/(LN(2)/25)*Calculateur!BL101*Calculateur!BN101*VLOOKUP('Données projet'!$B$11,Paramètres!$A$1:$I$89,3,0)*0.475*44/12</f>
        <v>6.0287459750161414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50.017837998033158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-5.3205440053716299E-14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345.45636360520137</v>
      </c>
      <c r="T102" s="59">
        <f t="shared" si="88"/>
        <v>469.30074822262549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101.68534926303056</v>
      </c>
      <c r="AA102" s="21">
        <f>EXP(-LN(2)/25)*AA101+(1-EXP(-LN(2)/25))/(LN(2)/25)*Calculateur!V102*Calculateur!X102*VLOOKUP('Données projet'!$B$9,Paramètres!$A$1:$I$89,3,0)*0.475*44/12</f>
        <v>11.92475570571232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113.61010496874287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-4.1677594708744434E-14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254.00493808294931</v>
      </c>
      <c r="BJ102" s="59">
        <f t="shared" si="92"/>
        <v>365.76175372075869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43.126492759142472</v>
      </c>
      <c r="BQ102" s="21">
        <f>EXP(-LN(2)/25)*BQ101+(1-EXP(-LN(2)/25))/(LN(2)/25)*Calculateur!BL102*Calculateur!BN102*VLOOKUP('Données projet'!$B$11,Paramètres!$A$1:$I$89,3,0)*0.475*44/12</f>
        <v>5.8638895992913529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48.990382358433827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-5.3205440053716299E-14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345.45636360520137</v>
      </c>
      <c r="T103" s="59">
        <f t="shared" si="88"/>
        <v>469.30074822262549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99.691361585921427</v>
      </c>
      <c r="AA103" s="21">
        <f>EXP(-LN(2)/25)*AA102+(1-EXP(-LN(2)/25))/(LN(2)/25)*Calculateur!V103*Calculateur!X103*VLOOKUP('Données projet'!$B$9,Paramètres!$A$1:$I$89,3,0)*0.475*44/12</f>
        <v>11.598672633843968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111.2900342197654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-4.1677594708744434E-14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254.00493808294931</v>
      </c>
      <c r="BJ103" s="59">
        <f t="shared" si="92"/>
        <v>365.76175372075869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42.280808540698914</v>
      </c>
      <c r="BQ103" s="21">
        <f>EXP(-LN(2)/25)*BQ102+(1-EXP(-LN(2)/25))/(LN(2)/25)*Calculateur!BL103*Calculateur!BN103*VLOOKUP('Données projet'!$B$11,Paramètres!$A$1:$I$89,3,0)*0.475*44/12</f>
        <v>5.7035412298301793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47.984349770529093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345.45636360520137</v>
      </c>
      <c r="T104" s="59">
        <f t="shared" si="88"/>
        <v>469.30074822262549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97.736474790948009</v>
      </c>
      <c r="AA104" s="21">
        <f>EXP(-LN(2)/25)*AA103+(1-EXP(-LN(2)/25))/(LN(2)/25)*Calculateur!V104*Calculateur!X104*VLOOKUP('Données projet'!$B$9,Paramètres!$A$1:$I$89,3,0)*0.475*44/12</f>
        <v>11.281506320723819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109.01798111167183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-4.1677594708744434E-14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254.00493808294931</v>
      </c>
      <c r="BJ104" s="59">
        <f t="shared" si="92"/>
        <v>365.76175372075869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41.451707673962588</v>
      </c>
      <c r="BQ104" s="21">
        <f>EXP(-LN(2)/25)*BQ103+(1-EXP(-LN(2)/25))/(LN(2)/25)*Calculateur!BL104*Calculateur!BN104*VLOOKUP('Données projet'!$B$11,Paramètres!$A$1:$I$89,3,0)*0.475*44/12</f>
        <v>5.5475775949642756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46.999285268926862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345.45636360520137</v>
      </c>
      <c r="T105" s="59">
        <f t="shared" si="88"/>
        <v>469.30074822262549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95.81992213366081</v>
      </c>
      <c r="AA105" s="21">
        <f>EXP(-LN(2)/25)*AA104+(1-EXP(-LN(2)/25))/(LN(2)/25)*Calculateur!V105*Calculateur!X105*VLOOKUP('Données projet'!$B$9,Paramètres!$A$1:$I$89,3,0)*0.475*44/12</f>
        <v>10.973012937114992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106.7929350707758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-4.1677594708744434E-14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254.00493808294931</v>
      </c>
      <c r="BJ105" s="59">
        <f t="shared" si="92"/>
        <v>365.76175372075869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40.638864969521372</v>
      </c>
      <c r="BQ105" s="21">
        <f>EXP(-LN(2)/25)*BQ104+(1-EXP(-LN(2)/25))/(LN(2)/25)*Calculateur!BL105*Calculateur!BN105*VLOOKUP('Données projet'!$B$11,Paramètres!$A$1:$I$89,3,0)*0.475*44/12</f>
        <v>5.3958787938955508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46.03474376341692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345.45636360520137</v>
      </c>
      <c r="T106" s="59">
        <f t="shared" si="88"/>
        <v>469.30074822262549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93.940951905001313</v>
      </c>
      <c r="AA106" s="21">
        <f>EXP(-LN(2)/25)*AA105+(1-EXP(-LN(2)/25))/(LN(2)/25)*Calculateur!V106*Calculateur!X106*VLOOKUP('Données projet'!$B$9,Paramètres!$A$1:$I$89,3,0)*0.475*44/12</f>
        <v>10.672955321303911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104.61390722630523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-4.1677594708744434E-14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254.00493808294931</v>
      </c>
      <c r="BJ106" s="59">
        <f t="shared" si="92"/>
        <v>365.76175372075869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39.841961614729151</v>
      </c>
      <c r="BQ106" s="21">
        <f>EXP(-LN(2)/25)*BQ105+(1-EXP(-LN(2)/25))/(LN(2)/25)*Calculateur!BL106*Calculateur!BN106*VLOOKUP('Données projet'!$B$11,Paramètres!$A$1:$I$89,3,0)*0.475*44/12</f>
        <v>5.2483282045195434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45.090289819248696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345.45636360520137</v>
      </c>
      <c r="T107" s="59">
        <f t="shared" si="88"/>
        <v>469.30074822262549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92.098827136467165</v>
      </c>
      <c r="AA107" s="21">
        <f>EXP(-LN(2)/25)*AA106+(1-EXP(-LN(2)/25))/(LN(2)/25)*Calculateur!V107*Calculateur!X107*VLOOKUP('Données projet'!$B$9,Paramètres!$A$1:$I$89,3,0)*0.475*44/12</f>
        <v>10.381102796776529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102.4799299332437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-4.1677594708744434E-14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254.00493808294931</v>
      </c>
      <c r="BJ107" s="59">
        <f t="shared" si="92"/>
        <v>365.76175372075869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39.060685048661355</v>
      </c>
      <c r="BQ107" s="21">
        <f>EXP(-LN(2)/25)*BQ106+(1-EXP(-LN(2)/25))/(LN(2)/25)*Calculateur!BL107*Calculateur!BN107*VLOOKUP('Données projet'!$B$11,Paramètres!$A$1:$I$89,3,0)*0.475*44/12</f>
        <v>5.1048123937693717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44.165497442430727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345.45636360520137</v>
      </c>
      <c r="T108" s="59">
        <f t="shared" si="88"/>
        <v>469.30074822262549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90.292825311058806</v>
      </c>
      <c r="AA108" s="21">
        <f>EXP(-LN(2)/25)*AA107+(1-EXP(-LN(2)/25))/(LN(2)/25)*Calculateur!V108*Calculateur!X108*VLOOKUP('Données projet'!$B$9,Paramètres!$A$1:$I$89,3,0)*0.475*44/12</f>
        <v>10.097230994880206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100.39005630593901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-4.1677594708744434E-14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254.00493808294931</v>
      </c>
      <c r="BJ108" s="59">
        <f t="shared" si="92"/>
        <v>365.76175372075869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38.294728839522499</v>
      </c>
      <c r="BQ108" s="21">
        <f>EXP(-LN(2)/25)*BQ107+(1-EXP(-LN(2)/25))/(LN(2)/25)*Calculateur!BL108*Calculateur!BN108*VLOOKUP('Données projet'!$B$11,Paramètres!$A$1:$I$89,3,0)*0.475*44/12</f>
        <v>4.9652210304113318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43.259949869933834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345.45636360520137</v>
      </c>
      <c r="T109" s="59">
        <f t="shared" si="88"/>
        <v>469.30074822262549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88.52223807989435</v>
      </c>
      <c r="AA109" s="21">
        <f>EXP(-LN(2)/25)*AA108+(1-EXP(-LN(2)/25))/(LN(2)/25)*Calculateur!V109*Calculateur!X109*VLOOKUP('Données projet'!$B$9,Paramètres!$A$1:$I$89,3,0)*0.475*44/12</f>
        <v>9.8211216823349066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98.343359762229255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-4.1677594708744434E-14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254.00493808294931</v>
      </c>
      <c r="BJ109" s="59">
        <f t="shared" si="92"/>
        <v>365.76175372075869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37.543792564457696</v>
      </c>
      <c r="BQ109" s="21">
        <f>EXP(-LN(2)/25)*BQ108+(1-EXP(-LN(2)/25))/(LN(2)/25)*Calculateur!BL109*Calculateur!BN109*VLOOKUP('Données projet'!$B$11,Paramètres!$A$1:$I$89,3,0)*0.475*44/12</f>
        <v>4.8294468002251083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42.373239364682803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345.45636360520137</v>
      </c>
      <c r="T110" s="59">
        <f t="shared" si="88"/>
        <v>469.30074822262549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86.786370984381463</v>
      </c>
      <c r="AA110" s="21">
        <f>EXP(-LN(2)/25)*AA109+(1-EXP(-LN(2)/25))/(LN(2)/25)*Calculateur!V110*Calculateur!X110*VLOOKUP('Données projet'!$B$9,Paramètres!$A$1:$I$89,3,0)*0.475*44/12</f>
        <v>9.5525625934611149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96.338933577842582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-4.1677594708744434E-14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254.00493808294931</v>
      </c>
      <c r="BJ110" s="59">
        <f t="shared" si="92"/>
        <v>365.76175372075869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36.807581691721012</v>
      </c>
      <c r="BQ110" s="21">
        <f>EXP(-LN(2)/25)*BQ109+(1-EXP(-LN(2)/25))/(LN(2)/25)*Calculateur!BL110*Calculateur!BN110*VLOOKUP('Données projet'!$B$11,Paramètres!$A$1:$I$89,3,0)*0.475*44/12</f>
        <v>4.6973853235033838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41.504967015224395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345.45636360520137</v>
      </c>
      <c r="T111" s="59">
        <f t="shared" si="88"/>
        <v>469.30074822262549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85.084543183837198</v>
      </c>
      <c r="AA111" s="21">
        <f>EXP(-LN(2)/25)*AA110+(1-EXP(-LN(2)/25))/(LN(2)/25)*Calculateur!V111*Calculateur!X111*VLOOKUP('Données projet'!$B$9,Paramètres!$A$1:$I$89,3,0)*0.475*44/12</f>
        <v>9.2913472669954871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94.375890450832685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-4.1677594708744434E-14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254.00493808294931</v>
      </c>
      <c r="BJ111" s="59">
        <f t="shared" si="92"/>
        <v>365.76175372075869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36.085807465154403</v>
      </c>
      <c r="BQ111" s="21">
        <f>EXP(-LN(2)/25)*BQ110+(1-EXP(-LN(2)/25))/(LN(2)/25)*Calculateur!BL111*Calculateur!BN111*VLOOKUP('Données projet'!$B$11,Paramètres!$A$1:$I$89,3,0)*0.475*44/12</f>
        <v>4.5689350748074258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40.654742539961831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345.45636360520137</v>
      </c>
      <c r="T112" s="59">
        <f t="shared" si="88"/>
        <v>469.30074822262549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83.41608718844914</v>
      </c>
      <c r="AA112" s="21">
        <f>EXP(-LN(2)/25)*AA111+(1-EXP(-LN(2)/25))/(LN(2)/25)*Calculateur!V112*Calculateur!X112*VLOOKUP('Données projet'!$B$9,Paramètres!$A$1:$I$89,3,0)*0.475*44/12</f>
        <v>9.0372748873687776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92.453362075817921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-4.1677594708744434E-14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254.00493808294931</v>
      </c>
      <c r="BJ112" s="59">
        <f t="shared" si="92"/>
        <v>365.76175372075869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35.378186790931956</v>
      </c>
      <c r="BQ112" s="21">
        <f>EXP(-LN(2)/25)*BQ111+(1-EXP(-LN(2)/25))/(LN(2)/25)*Calculateur!BL112*Calculateur!BN112*VLOOKUP('Données projet'!$B$11,Paramètres!$A$1:$I$89,3,0)*0.475*44/12</f>
        <v>4.4439973049169632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39.822184095848918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345.45636360520137</v>
      </c>
      <c r="T113" s="59">
        <f t="shared" si="88"/>
        <v>469.30074822262549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81.78034859747298</v>
      </c>
      <c r="AA113" s="21">
        <f>EXP(-LN(2)/25)*AA112+(1-EXP(-LN(2)/25))/(LN(2)/25)*Calculateur!V113*Calculateur!X113*VLOOKUP('Données projet'!$B$9,Paramètres!$A$1:$I$89,3,0)*0.475*44/12</f>
        <v>8.7901501303240472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90.57049872779703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-4.1677594708744434E-14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254.00493808294931</v>
      </c>
      <c r="BJ113" s="59">
        <f t="shared" si="92"/>
        <v>365.76175372075869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34.684442126525013</v>
      </c>
      <c r="BQ113" s="21">
        <f>EXP(-LN(2)/25)*BQ112+(1-EXP(-LN(2)/25))/(LN(2)/25)*Calculateur!BL113*Calculateur!BN113*VLOOKUP('Données projet'!$B$11,Paramètres!$A$1:$I$89,3,0)*0.475*44/12</f>
        <v>4.3224759649143474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39.00691809143936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345.45636360520137</v>
      </c>
      <c r="T114" s="59">
        <f t="shared" si="88"/>
        <v>469.30074822262549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80.176685842563828</v>
      </c>
      <c r="AA114" s="21">
        <f>EXP(-LN(2)/25)*AA113+(1-EXP(-LN(2)/25))/(LN(2)/25)*Calculateur!V114*Calculateur!X114*VLOOKUP('Données projet'!$B$9,Paramètres!$A$1:$I$89,3,0)*0.475*44/12</f>
        <v>8.5497830127564303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88.726468855320263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-4.1677594708744434E-14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254.00493808294931</v>
      </c>
      <c r="BJ114" s="59">
        <f t="shared" si="92"/>
        <v>365.76175372075869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34.004301371844633</v>
      </c>
      <c r="BQ114" s="21">
        <f>EXP(-LN(2)/25)*BQ113+(1-EXP(-LN(2)/25))/(LN(2)/25)*Calculateur!BL114*Calculateur!BN114*VLOOKUP('Données projet'!$B$11,Paramètres!$A$1:$I$89,3,0)*0.475*44/12</f>
        <v>4.2042776323446329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38.208579004189268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345.45636360520137</v>
      </c>
      <c r="T115" s="59">
        <f t="shared" si="88"/>
        <v>469.30074822262549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78.604469936140745</v>
      </c>
      <c r="AA115" s="21">
        <f>EXP(-LN(2)/25)*AA114+(1-EXP(-LN(2)/25))/(LN(2)/25)*Calculateur!V115*Calculateur!X115*VLOOKUP('Données projet'!$B$9,Paramètres!$A$1:$I$89,3,0)*0.475*44/12</f>
        <v>8.3159887466590572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86.920458682799804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-4.1677594708744434E-14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254.00493808294931</v>
      </c>
      <c r="BJ115" s="59">
        <f t="shared" si="92"/>
        <v>365.76175372075869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33.337497762518638</v>
      </c>
      <c r="BQ115" s="21">
        <f>EXP(-LN(2)/25)*BQ114+(1-EXP(-LN(2)/25))/(LN(2)/25)*Calculateur!BL115*Calculateur!BN115*VLOOKUP('Données projet'!$B$11,Paramètres!$A$1:$I$89,3,0)*0.475*44/12</f>
        <v>4.0893114393948169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37.426809201913457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345.45636360520137</v>
      </c>
      <c r="T116" s="59">
        <f t="shared" si="88"/>
        <v>469.30074822262549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77.06308422468561</v>
      </c>
      <c r="AA116" s="21">
        <f>EXP(-LN(2)/25)*AA115+(1-EXP(-LN(2)/25))/(LN(2)/25)*Calculateur!V116*Calculateur!X116*VLOOKUP('Données projet'!$B$9,Paramètres!$A$1:$I$89,3,0)*0.475*44/12</f>
        <v>8.0885875970628227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85.151671821748437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-4.1677594708744434E-14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254.00493808294931</v>
      </c>
      <c r="BJ116" s="59">
        <f t="shared" si="92"/>
        <v>365.76175372075869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32.683769765261481</v>
      </c>
      <c r="BQ116" s="21">
        <f>EXP(-LN(2)/25)*BQ115+(1-EXP(-LN(2)/25))/(LN(2)/25)*Calculateur!BL116*Calculateur!BN116*VLOOKUP('Données projet'!$B$11,Paramètres!$A$1:$I$89,3,0)*0.475*44/12</f>
        <v>3.9774890030370234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36.661258768298502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345.45636360520137</v>
      </c>
      <c r="T117" s="59">
        <f t="shared" si="88"/>
        <v>469.30074822262549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75.551924146879657</v>
      </c>
      <c r="AA117" s="21">
        <f>EXP(-LN(2)/25)*AA116+(1-EXP(-LN(2)/25))/(LN(2)/25)*Calculateur!V117*Calculateur!X117*VLOOKUP('Données projet'!$B$9,Paramètres!$A$1:$I$89,3,0)*0.475*44/12</f>
        <v>7.8674047438608046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83.419328890740459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-4.1677594708744434E-14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254.00493808294931</v>
      </c>
      <c r="BJ117" s="59">
        <f t="shared" si="92"/>
        <v>365.76175372075869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32.042860975295831</v>
      </c>
      <c r="BQ117" s="21">
        <f>EXP(-LN(2)/25)*BQ116+(1-EXP(-LN(2)/25))/(LN(2)/25)*Calculateur!BL117*Calculateur!BN117*VLOOKUP('Données projet'!$B$11,Paramètres!$A$1:$I$89,3,0)*0.475*44/12</f>
        <v>3.8687243570819199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35.911585332377754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345.45636360520137</v>
      </c>
      <c r="T118" s="59">
        <f t="shared" si="88"/>
        <v>469.30074822262549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74.070396996482842</v>
      </c>
      <c r="AA118" s="21">
        <f>EXP(-LN(2)/25)*AA117+(1-EXP(-LN(2)/25))/(LN(2)/25)*Calculateur!V118*Calculateur!X118*VLOOKUP('Données projet'!$B$9,Paramètres!$A$1:$I$89,3,0)*0.475*44/12</f>
        <v>7.6522701474110963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81.722667143893943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-4.1677594708744434E-14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254.00493808294931</v>
      </c>
      <c r="BJ118" s="59">
        <f t="shared" si="92"/>
        <v>365.76175372075869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31.414520015785644</v>
      </c>
      <c r="BQ118" s="21">
        <f>EXP(-LN(2)/25)*BQ117+(1-EXP(-LN(2)/25))/(LN(2)/25)*Calculateur!BL118*Calculateur!BN118*VLOOKUP('Données projet'!$B$11,Paramètres!$A$1:$I$89,3,0)*0.475*44/12</f>
        <v>3.7629338860901429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35.177453901875786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345.45636360520137</v>
      </c>
      <c r="T119" s="59">
        <f t="shared" si="88"/>
        <v>469.30074822262549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72.617921689862982</v>
      </c>
      <c r="AA119" s="21">
        <f>EXP(-LN(2)/25)*AA118+(1-EXP(-LN(2)/25))/(LN(2)/25)*Calculateur!V119*Calculateur!X119*VLOOKUP('Données projet'!$B$9,Paramètres!$A$1:$I$89,3,0)*0.475*44/12</f>
        <v>7.4430184178147423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80.060940107677723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-4.1677594708744434E-14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254.00493808294931</v>
      </c>
      <c r="BJ119" s="59">
        <f t="shared" si="92"/>
        <v>365.76175372075869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30.798500439241309</v>
      </c>
      <c r="BQ119" s="21">
        <f>EXP(-LN(2)/25)*BQ118+(1-EXP(-LN(2)/25))/(LN(2)/25)*Calculateur!BL119*Calculateur!BN119*VLOOKUP('Données projet'!$B$11,Paramètres!$A$1:$I$89,3,0)*0.475*44/12</f>
        <v>3.660036261090915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34.458536700332225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345.45636360520137</v>
      </c>
      <c r="T120" s="59">
        <f t="shared" si="88"/>
        <v>469.30074822262549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71.193928538083469</v>
      </c>
      <c r="AA120" s="21">
        <f>EXP(-LN(2)/25)*AA119+(1-EXP(-LN(2)/25))/(LN(2)/25)*Calculateur!V120*Calculateur!X120*VLOOKUP('Données projet'!$B$9,Paramètres!$A$1:$I$89,3,0)*0.475*44/12</f>
        <v>7.2394886877682705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78.433417225851741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-4.1677594708744434E-14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254.00493808294931</v>
      </c>
      <c r="BJ120" s="59">
        <f t="shared" si="92"/>
        <v>365.76175372075869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30.194560630858167</v>
      </c>
      <c r="BQ120" s="21">
        <f>EXP(-LN(2)/25)*BQ119+(1-EXP(-LN(2)/25))/(LN(2)/25)*Calculateur!BL120*Calculateur!BN120*VLOOKUP('Données projet'!$B$11,Paramètres!$A$1:$I$89,3,0)*0.475*44/12</f>
        <v>3.5599523770584423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33.754513007916607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345.45636360520137</v>
      </c>
      <c r="T121" s="59">
        <f t="shared" si="88"/>
        <v>469.30074822262549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69.79785902346029</v>
      </c>
      <c r="AA121" s="21">
        <f>EXP(-LN(2)/25)*AA120+(1-EXP(-LN(2)/25))/(LN(2)/25)*Calculateur!V121*Calculateur!X121*VLOOKUP('Données projet'!$B$9,Paramètres!$A$1:$I$89,3,0)*0.475*44/12</f>
        <v>7.0415244888930832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76.839383512353379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-4.1677594708744434E-14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254.00493808294931</v>
      </c>
      <c r="BJ121" s="59">
        <f t="shared" si="92"/>
        <v>365.76175372075869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29.60246371375051</v>
      </c>
      <c r="BQ121" s="21">
        <f>EXP(-LN(2)/25)*BQ120+(1-EXP(-LN(2)/25))/(LN(2)/25)*Calculateur!BL121*Calculateur!BN121*VLOOKUP('Données projet'!$B$11,Paramètres!$A$1:$I$89,3,0)*0.475*44/12</f>
        <v>3.4626052920980199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33.065069005848528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345.45636360520137</v>
      </c>
      <c r="T122" s="59">
        <f t="shared" si="88"/>
        <v>469.30074822262549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68.429165580500552</v>
      </c>
      <c r="AA122" s="21">
        <f>EXP(-LN(2)/25)*AA121+(1-EXP(-LN(2)/25))/(LN(2)/25)*Calculateur!V122*Calculateur!X122*VLOOKUP('Données projet'!$B$9,Paramètres!$A$1:$I$89,3,0)*0.475*44/12</f>
        <v>6.848973631446623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75.278139211947178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-4.1677594708744434E-14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254.00493808294931</v>
      </c>
      <c r="BJ122" s="59">
        <f t="shared" si="92"/>
        <v>365.76175372075869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29.021977456043874</v>
      </c>
      <c r="BQ122" s="21">
        <f>EXP(-LN(2)/25)*BQ121+(1-EXP(-LN(2)/25))/(LN(2)/25)*Calculateur!BL122*Calculateur!BN122*VLOOKUP('Données projet'!$B$11,Paramètres!$A$1:$I$89,3,0)*0.475*44/12</f>
        <v>3.3679201682951012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32.389897624338978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345.45636360520137</v>
      </c>
      <c r="T123" s="59">
        <f t="shared" si="88"/>
        <v>469.30074822262549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67.087311381136686</v>
      </c>
      <c r="AA123" s="21">
        <f>EXP(-LN(2)/25)*AA122+(1-EXP(-LN(2)/25))/(LN(2)/25)*Calculateur!V123*Calculateur!X123*VLOOKUP('Données projet'!$B$9,Paramètres!$A$1:$I$89,3,0)*0.475*44/12</f>
        <v>6.6616880873228457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73.74899946845953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-4.1677594708744434E-14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254.00493808294931</v>
      </c>
      <c r="BJ123" s="59">
        <f t="shared" si="92"/>
        <v>365.76175372075869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28.452874179789209</v>
      </c>
      <c r="BQ123" s="21">
        <f>EXP(-LN(2)/25)*BQ122+(1-EXP(-LN(2)/25))/(LN(2)/25)*Calculateur!BL123*Calculateur!BN123*VLOOKUP('Données projet'!$B$11,Paramètres!$A$1:$I$89,3,0)*0.475*44/12</f>
        <v>3.2758242141818474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31.728698393971058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345.45636360520137</v>
      </c>
      <c r="T124" s="59">
        <f t="shared" si="88"/>
        <v>469.30074822262549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65.771770124172107</v>
      </c>
      <c r="AA124" s="21">
        <f>EXP(-LN(2)/25)*AA123+(1-EXP(-LN(2)/25))/(LN(2)/25)*Calculateur!V124*Calculateur!X124*VLOOKUP('Données projet'!$B$9,Paramètres!$A$1:$I$89,3,0)*0.475*44/12</f>
        <v>6.4795238762520517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72.251294000424153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-4.1677594708744434E-14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254.00493808294931</v>
      </c>
      <c r="BJ124" s="59">
        <f t="shared" si="92"/>
        <v>365.76175372075869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27.894930671663175</v>
      </c>
      <c r="BQ124" s="21">
        <f>EXP(-LN(2)/25)*BQ123+(1-EXP(-LN(2)/25))/(LN(2)/25)*Calculateur!BL124*Calculateur!BN124*VLOOKUP('Données projet'!$B$11,Paramètres!$A$1:$I$89,3,0)*0.475*44/12</f>
        <v>3.1862466287769364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31.08117730044011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345.45636360520137</v>
      </c>
      <c r="T125" s="59">
        <f t="shared" si="88"/>
        <v>469.30074822262549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64.482025828855654</v>
      </c>
      <c r="AA125" s="21">
        <f>EXP(-LN(2)/25)*AA124+(1-EXP(-LN(2)/25))/(LN(2)/25)*Calculateur!V125*Calculateur!X125*VLOOKUP('Données projet'!$B$9,Paramètres!$A$1:$I$89,3,0)*0.475*44/12</f>
        <v>6.3023409551125882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70.784366783968238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-4.1677594708744434E-14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254.00493808294931</v>
      </c>
      <c r="BJ125" s="59">
        <f t="shared" si="92"/>
        <v>365.76175372075869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27.347928095419554</v>
      </c>
      <c r="BQ125" s="21">
        <f>EXP(-LN(2)/25)*BQ124+(1-EXP(-LN(2)/25))/(LN(2)/25)*Calculateur!BL125*Calculateur!BN125*VLOOKUP('Données projet'!$B$11,Paramètres!$A$1:$I$89,3,0)*0.475*44/12</f>
        <v>3.0991185471556033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30.44704664257516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345.45636360520137</v>
      </c>
      <c r="T126" s="59">
        <f t="shared" si="88"/>
        <v>469.30074822262549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63.217572632504023</v>
      </c>
      <c r="AA126" s="21">
        <f>EXP(-LN(2)/25)*AA125+(1-EXP(-LN(2)/25))/(LN(2)/25)*Calculateur!V126*Calculateur!X126*VLOOKUP('Données projet'!$B$9,Paramètres!$A$1:$I$89,3,0)*0.475*44/12</f>
        <v>6.1300031102693282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69.347575742773358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-4.1677594708744434E-14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254.00493808294931</v>
      </c>
      <c r="BJ126" s="59">
        <f t="shared" si="92"/>
        <v>365.76175372075869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26.811651906057445</v>
      </c>
      <c r="BQ126" s="21">
        <f>EXP(-LN(2)/25)*BQ125+(1-EXP(-LN(2)/25))/(LN(2)/25)*Calculateur!BL126*Calculateur!BN126*VLOOKUP('Données projet'!$B$11,Paramètres!$A$1:$I$89,3,0)*0.475*44/12</f>
        <v>3.014372987508072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29.826024893565517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345.45636360520137</v>
      </c>
      <c r="T127" s="59">
        <f t="shared" si="88"/>
        <v>469.30074822262549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61.977914592092546</v>
      </c>
      <c r="AA127" s="21">
        <f>EXP(-LN(2)/25)*AA126+(1-EXP(-LN(2)/25))/(LN(2)/25)*Calculateur!V127*Calculateur!X127*VLOOKUP('Données projet'!$B$9,Paramètres!$A$1:$I$89,3,0)*0.475*44/12</f>
        <v>5.96237785285616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67.94029244494871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-4.1677594708744434E-14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254.00493808294931</v>
      </c>
      <c r="BJ127" s="59">
        <f t="shared" si="92"/>
        <v>365.76175372075869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26.285891765672549</v>
      </c>
      <c r="BQ127" s="21">
        <f>EXP(-LN(2)/25)*BQ126+(1-EXP(-LN(2)/25))/(LN(2)/25)*Calculateur!BL127*Calculateur!BN127*VLOOKUP('Données projet'!$B$11,Paramètres!$A$1:$I$89,3,0)*0.475*44/12</f>
        <v>2.9319447996456778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29.217836565318226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345.45636360520137</v>
      </c>
      <c r="T128" s="59">
        <f t="shared" si="88"/>
        <v>469.30074822262549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60.762565489736794</v>
      </c>
      <c r="AA128" s="21">
        <f>EXP(-LN(2)/25)*AA127+(1-EXP(-LN(2)/25))/(LN(2)/25)*Calculateur!V128*Calculateur!X128*VLOOKUP('Données projet'!$B$9,Paramètres!$A$1:$I$89,3,0)*0.475*44/12</f>
        <v>5.799336316921984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66.561901806658781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-4.1677594708744434E-14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254.00493808294931</v>
      </c>
      <c r="BJ128" s="59">
        <f t="shared" si="92"/>
        <v>365.76175372075869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25.77044146095858</v>
      </c>
      <c r="BQ128" s="21">
        <f>EXP(-LN(2)/25)*BQ127+(1-EXP(-LN(2)/25))/(LN(2)/25)*Calculateur!BL128*Calculateur!BN128*VLOOKUP('Données projet'!$B$11,Paramètres!$A$1:$I$89,3,0)*0.475*44/12</f>
        <v>2.8517706149150905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28.622212075873669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345.45636360520137</v>
      </c>
      <c r="T129" s="59">
        <f t="shared" si="88"/>
        <v>469.30074822262549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59.571048641988483</v>
      </c>
      <c r="AA129" s="21">
        <f>EXP(-LN(2)/25)*AA128+(1-EXP(-LN(2)/25))/(LN(2)/25)*Calculateur!V129*Calculateur!X129*VLOOKUP('Données projet'!$B$9,Paramètres!$A$1:$I$89,3,0)*0.475*44/12</f>
        <v>5.6407531603619097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65.211801802350394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-4.1677594708744434E-14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254.00493808294931</v>
      </c>
      <c r="BJ129" s="59">
        <f t="shared" si="92"/>
        <v>365.76175372075869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25.265098822326408</v>
      </c>
      <c r="BQ129" s="21">
        <f>EXP(-LN(2)/25)*BQ128+(1-EXP(-LN(2)/25))/(LN(2)/25)*Calculateur!BL129*Calculateur!BN129*VLOOKUP('Données projet'!$B$11,Paramètres!$A$1:$I$89,3,0)*0.475*44/12</f>
        <v>2.7737887974821387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28.038887619808548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345.45636360520137</v>
      </c>
      <c r="T130" s="59">
        <f t="shared" si="88"/>
        <v>469.30074822262549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58.402896712871005</v>
      </c>
      <c r="AA130" s="21">
        <f>EXP(-LN(2)/25)*AA129+(1-EXP(-LN(2)/25))/(LN(2)/25)*Calculateur!V130*Calculateur!X130*VLOOKUP('Données projet'!$B$9,Paramètres!$A$1:$I$89,3,0)*0.475*44/12</f>
        <v>5.4865064685574962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63.889403181428499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-4.1677594708744434E-14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254.00493808294931</v>
      </c>
      <c r="BJ130" s="59">
        <f t="shared" si="92"/>
        <v>365.76175372075869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24.76966564460924</v>
      </c>
      <c r="BQ130" s="21">
        <f>EXP(-LN(2)/25)*BQ129+(1-EXP(-LN(2)/25))/(LN(2)/25)*Calculateur!BL130*Calculateur!BN130*VLOOKUP('Données projet'!$B$11,Paramètres!$A$1:$I$89,3,0)*0.475*44/12</f>
        <v>2.6979393969477763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27.467605041557018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345.45636360520137</v>
      </c>
      <c r="T131" s="59">
        <f t="shared" si="88"/>
        <v>469.30074822262549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57.257651530581192</v>
      </c>
      <c r="AA131" s="21">
        <f>EXP(-LN(2)/25)*AA130+(1-EXP(-LN(2)/25))/(LN(2)/25)*Calculateur!V131*Calculateur!X131*VLOOKUP('Données projet'!$B$9,Paramètres!$A$1:$I$89,3,0)*0.475*44/12</f>
        <v>5.3364776606519557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62.594129191233151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-4.1677594708744434E-14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254.00493808294931</v>
      </c>
      <c r="BJ131" s="59">
        <f t="shared" si="92"/>
        <v>365.76175372075869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24.283947609322706</v>
      </c>
      <c r="BQ131" s="21">
        <f>EXP(-LN(2)/25)*BQ130+(1-EXP(-LN(2)/25))/(LN(2)/25)*Calculateur!BL131*Calculateur!BN131*VLOOKUP('Données projet'!$B$11,Paramètres!$A$1:$I$89,3,0)*0.475*44/12</f>
        <v>2.6241641022597726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26.908111711582478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345.45636360520137</v>
      </c>
      <c r="T132" s="59">
        <f t="shared" si="88"/>
        <v>469.30074822262549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56.134863907785501</v>
      </c>
      <c r="AA132" s="21">
        <f>EXP(-LN(2)/25)*AA131+(1-EXP(-LN(2)/25))/(LN(2)/25)*Calculateur!V132*Calculateur!X132*VLOOKUP('Données projet'!$B$9,Paramètres!$A$1:$I$89,3,0)*0.475*44/12</f>
        <v>5.1905513983882647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61.325415306173767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-4.1677594708744434E-14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254.00493808294931</v>
      </c>
      <c r="BJ132" s="59">
        <f t="shared" si="92"/>
        <v>365.76175372075869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23.807754208449392</v>
      </c>
      <c r="BQ132" s="21">
        <f>EXP(-LN(2)/25)*BQ131+(1-EXP(-LN(2)/25))/(LN(2)/25)*Calculateur!BL132*Calculateur!BN132*VLOOKUP('Données projet'!$B$11,Paramètres!$A$1:$I$89,3,0)*0.475*44/12</f>
        <v>2.5524061968846867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26.360160405334078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345.45636360520137</v>
      </c>
      <c r="T133" s="59">
        <f t="shared" ref="T133:T196" si="142">$T$3</f>
        <v>469.30074822262549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55.034093465440002</v>
      </c>
      <c r="AA133" s="21">
        <f>EXP(-LN(2)/25)*AA132+(1-EXP(-LN(2)/25))/(LN(2)/25)*Calculateur!V133*Calculateur!X133*VLOOKUP('Données projet'!$B$9,Paramètres!$A$1:$I$89,3,0)*0.475*44/12</f>
        <v>5.0486154974401032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60.082708962880105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-4.1677594708744434E-14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254.00493808294931</v>
      </c>
      <c r="BJ133" s="59">
        <f t="shared" ref="BJ133:BJ196" si="146">$BJ$3</f>
        <v>365.76175372075869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23.340898669717909</v>
      </c>
      <c r="BQ133" s="21">
        <f>EXP(-LN(2)/25)*BQ132+(1-EXP(-LN(2)/25))/(LN(2)/25)*Calculateur!BL133*Calculateur!BN133*VLOOKUP('Données projet'!$B$11,Paramètres!$A$1:$I$89,3,0)*0.475*44/12</f>
        <v>2.4826105152056668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25.823509184923576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345.45636360520137</v>
      </c>
      <c r="T134" s="59">
        <f t="shared" si="142"/>
        <v>469.30074822262549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53.954908460065226</v>
      </c>
      <c r="AA134" s="21">
        <f>EXP(-LN(2)/25)*AA133+(1-EXP(-LN(2)/25))/(LN(2)/25)*Calculateur!V134*Calculateur!X134*VLOOKUP('Données projet'!$B$9,Paramètres!$A$1:$I$89,3,0)*0.475*44/12</f>
        <v>4.9105608411674533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58.865469301232679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-4.1677594708744434E-14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254.00493808294931</v>
      </c>
      <c r="BJ134" s="59">
        <f t="shared" si="146"/>
        <v>365.76175372075869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22.883197883347187</v>
      </c>
      <c r="BQ134" s="21">
        <f>EXP(-LN(2)/25)*BQ133+(1-EXP(-LN(2)/25))/(LN(2)/25)*Calculateur!BL134*Calculateur!BN134*VLOOKUP('Données projet'!$B$11,Paramètres!$A$1:$I$89,3,0)*0.475*44/12</f>
        <v>2.414723400112555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25.297921283459743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345.45636360520137</v>
      </c>
      <c r="T135" s="59">
        <f t="shared" si="142"/>
        <v>469.30074822262549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52.896885614407992</v>
      </c>
      <c r="AA135" s="21">
        <f>EXP(-LN(2)/25)*AA134+(1-EXP(-LN(2)/25))/(LN(2)/25)*Calculateur!V135*Calculateur!X135*VLOOKUP('Données projet'!$B$9,Paramètres!$A$1:$I$89,3,0)*0.475*44/12</f>
        <v>4.7762812967305575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57.673166911138551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-4.1677594708744434E-14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254.00493808294931</v>
      </c>
      <c r="BJ135" s="59">
        <f t="shared" si="146"/>
        <v>365.76175372075869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22.43447233022728</v>
      </c>
      <c r="BQ135" s="21">
        <f>EXP(-LN(2)/25)*BQ134+(1-EXP(-LN(2)/25))/(LN(2)/25)*Calculateur!BL135*Calculateur!BN135*VLOOKUP('Données projet'!$B$11,Paramètres!$A$1:$I$89,3,0)*0.475*44/12</f>
        <v>2.3486926617516923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24.783164991978971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345.45636360520137</v>
      </c>
      <c r="T136" s="59">
        <f t="shared" si="142"/>
        <v>469.30074822262549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51.859609951423877</v>
      </c>
      <c r="AA136" s="21">
        <f>EXP(-LN(2)/25)*AA135+(1-EXP(-LN(2)/25))/(LN(2)/25)*Calculateur!V136*Calculateur!X136*VLOOKUP('Données projet'!$B$9,Paramètres!$A$1:$I$89,3,0)*0.475*44/12</f>
        <v>4.6456736334977435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56.505283584921621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-4.1677594708744434E-14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254.00493808294931</v>
      </c>
      <c r="BJ136" s="59">
        <f t="shared" si="146"/>
        <v>365.76175372075869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21.994546011508493</v>
      </c>
      <c r="BQ136" s="21">
        <f>EXP(-LN(2)/25)*BQ135+(1-EXP(-LN(2)/25))/(LN(2)/25)*Calculateur!BL136*Calculateur!BN136*VLOOKUP('Données projet'!$B$11,Paramètres!$A$1:$I$89,3,0)*0.475*44/12</f>
        <v>2.2844675374037133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24.279013548912207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345.45636360520137</v>
      </c>
      <c r="T137" s="59">
        <f t="shared" si="142"/>
        <v>469.30074822262549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50.842674631515202</v>
      </c>
      <c r="AA137" s="21">
        <f>EXP(-LN(2)/25)*AA136+(1-EXP(-LN(2)/25))/(LN(2)/25)*Calculateur!V137*Calculateur!X137*VLOOKUP('Données projet'!$B$9,Paramètres!$A$1:$I$89,3,0)*0.475*44/12</f>
        <v>4.5186374436843888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55.361312075199592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-4.1677594708744434E-14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254.00493808294931</v>
      </c>
      <c r="BJ137" s="59">
        <f t="shared" si="146"/>
        <v>365.76175372075869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21.563246379571222</v>
      </c>
      <c r="BQ137" s="21">
        <f>EXP(-LN(2)/25)*BQ136+(1-EXP(-LN(2)/25))/(LN(2)/25)*Calculateur!BL137*Calculateur!BN137*VLOOKUP('Données projet'!$B$11,Paramètres!$A$1:$I$89,3,0)*0.475*44/12</f>
        <v>2.221998652458482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23.785245032029703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345.45636360520137</v>
      </c>
      <c r="T138" s="59">
        <f t="shared" si="142"/>
        <v>469.30074822262549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49.845680792960636</v>
      </c>
      <c r="AA138" s="21">
        <f>EXP(-LN(2)/25)*AA137+(1-EXP(-LN(2)/25))/(LN(2)/25)*Calculateur!V138*Calculateur!X138*VLOOKUP('Données projet'!$B$9,Paramètres!$A$1:$I$89,3,0)*0.475*44/12</f>
        <v>4.3950750651620236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54.240755858122661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-4.1677594708744434E-14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254.00493808294931</v>
      </c>
      <c r="BJ138" s="59">
        <f t="shared" si="146"/>
        <v>365.76175372075869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21.140404270349443</v>
      </c>
      <c r="BQ138" s="21">
        <f>EXP(-LN(2)/25)*BQ137+(1-EXP(-LN(2)/25))/(LN(2)/25)*Calculateur!BL138*Calculateur!BN138*VLOOKUP('Données projet'!$B$11,Paramètres!$A$1:$I$89,3,0)*0.475*44/12</f>
        <v>2.1612379824571741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23.301642252806616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345.45636360520137</v>
      </c>
      <c r="T139" s="59">
        <f t="shared" si="142"/>
        <v>469.30074822262549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48.868237395473926</v>
      </c>
      <c r="AA139" s="21">
        <f>EXP(-LN(2)/25)*AA138+(1-EXP(-LN(2)/25))/(LN(2)/25)*Calculateur!V139*Calculateur!X139*VLOOKUP('Données projet'!$B$9,Paramètres!$A$1:$I$89,3,0)*0.475*44/12</f>
        <v>4.2748915063782151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53.143128901852144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-4.1677594708744434E-14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254.00493808294931</v>
      </c>
      <c r="BJ139" s="59">
        <f t="shared" si="146"/>
        <v>365.76175372075869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20.72585383698128</v>
      </c>
      <c r="BQ139" s="21">
        <f>EXP(-LN(2)/25)*BQ138+(1-EXP(-LN(2)/25))/(LN(2)/25)*Calculateur!BL139*Calculateur!BN139*VLOOKUP('Données projet'!$B$11,Paramètres!$A$1:$I$89,3,0)*0.475*44/12</f>
        <v>2.1021388161723169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22.827992653153597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345.45636360520137</v>
      </c>
      <c r="T140" s="59">
        <f t="shared" si="142"/>
        <v>469.30074822262549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47.909961066830327</v>
      </c>
      <c r="AA140" s="21">
        <f>EXP(-LN(2)/25)*AA139+(1-EXP(-LN(2)/25))/(LN(2)/25)*Calculateur!V140*Calculateur!X140*VLOOKUP('Données projet'!$B$9,Paramètres!$A$1:$I$89,3,0)*0.475*44/12</f>
        <v>4.1579943733295286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52.067955440159857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-4.1677594708744434E-14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254.00493808294931</v>
      </c>
      <c r="BJ140" s="59">
        <f t="shared" si="146"/>
        <v>365.76175372075869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20.319432484760672</v>
      </c>
      <c r="BQ140" s="21">
        <f>EXP(-LN(2)/25)*BQ139+(1-EXP(-LN(2)/25))/(LN(2)/25)*Calculateur!BL140*Calculateur!BN140*VLOOKUP('Données projet'!$B$11,Paramètres!$A$1:$I$89,3,0)*0.475*44/12</f>
        <v>2.0446557196974089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22.364088204458081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345.45636360520137</v>
      </c>
      <c r="T141" s="59">
        <f t="shared" si="142"/>
        <v>469.30074822262549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46.970475952500585</v>
      </c>
      <c r="AA141" s="21">
        <f>EXP(-LN(2)/25)*AA140+(1-EXP(-LN(2)/25))/(LN(2)/25)*Calculateur!V141*Calculateur!X141*VLOOKUP('Données projet'!$B$9,Paramètres!$A$1:$I$89,3,0)*0.475*44/12</f>
        <v>4.0442937985314114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51.014769751031999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-4.1677594708744434E-14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254.00493808294931</v>
      </c>
      <c r="BJ141" s="59">
        <f t="shared" si="146"/>
        <v>365.76175372075869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19.920980807364561</v>
      </c>
      <c r="BQ141" s="21">
        <f>EXP(-LN(2)/25)*BQ140+(1-EXP(-LN(2)/25))/(LN(2)/25)*Calculateur!BL141*Calculateur!BN141*VLOOKUP('Données projet'!$B$11,Paramètres!$A$1:$I$89,3,0)*0.475*44/12</f>
        <v>1.9887445015185121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21.909725308883072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345.45636360520137</v>
      </c>
      <c r="T142" s="59">
        <f t="shared" si="142"/>
        <v>469.30074822262549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46.049413568233511</v>
      </c>
      <c r="AA142" s="21">
        <f>EXP(-LN(2)/25)*AA141+(1-EXP(-LN(2)/25))/(LN(2)/25)*Calculateur!V142*Calculateur!X142*VLOOKUP('Données projet'!$B$9,Paramètres!$A$1:$I$89,3,0)*0.475*44/12</f>
        <v>3.9337023719304023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49.983115940163913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-4.1677594708744434E-14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254.00493808294931</v>
      </c>
      <c r="BJ142" s="59">
        <f t="shared" si="146"/>
        <v>365.76175372075869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19.530342524330663</v>
      </c>
      <c r="BQ142" s="21">
        <f>EXP(-LN(2)/25)*BQ141+(1-EXP(-LN(2)/25))/(LN(2)/25)*Calculateur!BL142*Calculateur!BN142*VLOOKUP('Données projet'!$B$11,Paramètres!$A$1:$I$89,3,0)*0.475*44/12</f>
        <v>1.9343621785409604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21.464704702871625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345.45636360520137</v>
      </c>
      <c r="T143" s="59">
        <f t="shared" si="142"/>
        <v>469.30074822262549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45.146412655529332</v>
      </c>
      <c r="AA143" s="21">
        <f>EXP(-LN(2)/25)*AA142+(1-EXP(-LN(2)/25))/(LN(2)/25)*Calculateur!V143*Calculateur!X143*VLOOKUP('Données projet'!$B$9,Paramètres!$A$1:$I$89,3,0)*0.475*44/12</f>
        <v>3.8261350737055482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48.972547729234883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-4.1677594708744434E-14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254.00493808294931</v>
      </c>
      <c r="BJ143" s="59">
        <f t="shared" si="146"/>
        <v>365.76175372075869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19.147364419761235</v>
      </c>
      <c r="BQ143" s="21">
        <f>EXP(-LN(2)/25)*BQ142+(1-EXP(-LN(2)/25))/(LN(2)/25)*Calculateur!BL143*Calculateur!BN143*VLOOKUP('Données projet'!$B$11,Paramètres!$A$1:$I$89,3,0)*0.475*44/12</f>
        <v>1.8814669430450719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21.028831362806308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345.45636360520137</v>
      </c>
      <c r="T144" s="59">
        <f t="shared" si="142"/>
        <v>469.30074822262549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44.261119039947111</v>
      </c>
      <c r="AA144" s="21">
        <f>EXP(-LN(2)/25)*AA143+(1-EXP(-LN(2)/25))/(LN(2)/25)*Calculateur!V144*Calculateur!X144*VLOOKUP('Données projet'!$B$9,Paramètres!$A$1:$I$89,3,0)*0.475*44/12</f>
        <v>3.7215092089073711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47.982628248854482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-4.1677594708744434E-14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254.00493808294931</v>
      </c>
      <c r="BJ144" s="59">
        <f t="shared" si="146"/>
        <v>365.76175372075869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18.771896282228834</v>
      </c>
      <c r="BQ144" s="21">
        <f>EXP(-LN(2)/25)*BQ143+(1-EXP(-LN(2)/25))/(LN(2)/25)*Calculateur!BL144*Calculateur!BN144*VLOOKUP('Données projet'!$B$11,Paramètres!$A$1:$I$89,3,0)*0.475*44/12</f>
        <v>1.8300181305454579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20.601914412774292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345.45636360520137</v>
      </c>
      <c r="T145" s="59">
        <f t="shared" si="142"/>
        <v>469.30074822262549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43.393185492190668</v>
      </c>
      <c r="AA145" s="21">
        <f>EXP(-LN(2)/25)*AA144+(1-EXP(-LN(2)/25))/(LN(2)/25)*Calculateur!V145*Calculateur!X145*VLOOKUP('Données projet'!$B$9,Paramètres!$A$1:$I$89,3,0)*0.475*44/12</f>
        <v>3.6197443438841352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47.012929836074804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-4.1677594708744434E-14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254.00493808294931</v>
      </c>
      <c r="BJ145" s="59">
        <f t="shared" si="146"/>
        <v>365.76175372075869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18.403790845860492</v>
      </c>
      <c r="BQ145" s="21">
        <f>EXP(-LN(2)/25)*BQ144+(1-EXP(-LN(2)/25))/(LN(2)/25)*Calculateur!BL145*Calculateur!BN145*VLOOKUP('Données projet'!$B$11,Paramètres!$A$1:$I$89,3,0)*0.475*44/12</f>
        <v>1.7799761885292213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20.183767034389714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345.45636360520137</v>
      </c>
      <c r="T146" s="59">
        <f t="shared" si="142"/>
        <v>469.30074822262549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42.542271591918535</v>
      </c>
      <c r="AA146" s="21">
        <f>EXP(-LN(2)/25)*AA145+(1-EXP(-LN(2)/25))/(LN(2)/25)*Calculateur!V146*Calculateur!X146*VLOOKUP('Données projet'!$B$9,Paramètres!$A$1:$I$89,3,0)*0.475*44/12</f>
        <v>3.5207622444465416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46.063033836365079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-4.1677594708744434E-14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254.00493808294931</v>
      </c>
      <c r="BJ146" s="59">
        <f t="shared" si="146"/>
        <v>365.76175372075869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18.042903732577187</v>
      </c>
      <c r="BQ146" s="21">
        <f>EXP(-LN(2)/25)*BQ145+(1-EXP(-LN(2)/25))/(LN(2)/25)*Calculateur!BL146*Calculateur!BN146*VLOOKUP('Données projet'!$B$11,Paramètres!$A$1:$I$89,3,0)*0.475*44/12</f>
        <v>1.7313026460490102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19.774206378626197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345.45636360520137</v>
      </c>
      <c r="T147" s="59">
        <f t="shared" si="142"/>
        <v>469.30074822262549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41.708043594224506</v>
      </c>
      <c r="AA147" s="21">
        <f>EXP(-LN(2)/25)*AA146+(1-EXP(-LN(2)/25))/(LN(2)/25)*Calculateur!V147*Calculateur!X147*VLOOKUP('Données projet'!$B$9,Paramètres!$A$1:$I$89,3,0)*0.475*44/12</f>
        <v>3.4244868157233115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45.132530409947819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-4.1677594708744434E-14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254.00493808294931</v>
      </c>
      <c r="BJ147" s="59">
        <f t="shared" si="146"/>
        <v>365.76175372075869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17.689093395465964</v>
      </c>
      <c r="BQ147" s="21">
        <f>EXP(-LN(2)/25)*BQ146+(1-EXP(-LN(2)/25))/(LN(2)/25)*Calculateur!BL147*Calculateur!BN147*VLOOKUP('Données projet'!$B$11,Paramètres!$A$1:$I$89,3,0)*0.475*44/12</f>
        <v>1.6839600841475508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19.373053479613514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345.45636360520137</v>
      </c>
      <c r="T148" s="59">
        <f t="shared" si="142"/>
        <v>469.30074822262549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40.890174298736426</v>
      </c>
      <c r="AA148" s="21">
        <f>EXP(-LN(2)/25)*AA147+(1-EXP(-LN(2)/25))/(LN(2)/25)*Calculateur!V148*Calculateur!X148*VLOOKUP('Données projet'!$B$9,Paramètres!$A$1:$I$89,3,0)*0.475*44/12</f>
        <v>3.3308440436614228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44.221018342397848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-4.1677594708744434E-14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254.00493808294931</v>
      </c>
      <c r="BJ148" s="59">
        <f t="shared" si="146"/>
        <v>365.76175372075869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17.342221063262496</v>
      </c>
      <c r="BQ148" s="21">
        <f>EXP(-LN(2)/25)*BQ147+(1-EXP(-LN(2)/25))/(LN(2)/25)*Calculateur!BL148*Calculateur!BN148*VLOOKUP('Données projet'!$B$11,Paramètres!$A$1:$I$89,3,0)*0.475*44/12</f>
        <v>1.6379121070909239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18.980133170353419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345.45636360520137</v>
      </c>
      <c r="T149" s="59">
        <f t="shared" si="142"/>
        <v>469.30074822262549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40.08834292128185</v>
      </c>
      <c r="AA149" s="21">
        <f>EXP(-LN(2)/25)*AA148+(1-EXP(-LN(2)/25))/(LN(2)/25)*Calculateur!V149*Calculateur!X149*VLOOKUP('Données projet'!$B$9,Paramètres!$A$1:$I$89,3,0)*0.475*44/12</f>
        <v>3.2397619381260259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43.328104859407873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-4.1677594708744434E-14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254.00493808294931</v>
      </c>
      <c r="BJ149" s="59">
        <f t="shared" si="146"/>
        <v>365.76175372075869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17.002150685922306</v>
      </c>
      <c r="BQ149" s="21">
        <f>EXP(-LN(2)/25)*BQ148+(1-EXP(-LN(2)/25))/(LN(2)/25)*Calculateur!BL149*Calculateur!BN149*VLOOKUP('Données projet'!$B$11,Paramètres!$A$1:$I$89,3,0)*0.475*44/12</f>
        <v>1.5931233143884684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18.595274000310773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345.45636360520137</v>
      </c>
      <c r="T150" s="59">
        <f t="shared" si="142"/>
        <v>469.30074822262549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39.302234968070309</v>
      </c>
      <c r="AA150" s="21">
        <f>EXP(-LN(2)/25)*AA149+(1-EXP(-LN(2)/25))/(LN(2)/25)*Calculateur!V150*Calculateur!X150*VLOOKUP('Données projet'!$B$9,Paramètres!$A$1:$I$89,3,0)*0.475*44/12</f>
        <v>3.1511704775562941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42.453405445626601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-4.1677594708744434E-14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254.00493808294931</v>
      </c>
      <c r="BJ150" s="59">
        <f t="shared" si="146"/>
        <v>365.76175372075869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16.668748881259308</v>
      </c>
      <c r="BQ150" s="21">
        <f>EXP(-LN(2)/25)*BQ149+(1-EXP(-LN(2)/25))/(LN(2)/25)*Calculateur!BL150*Calculateur!BN150*VLOOKUP('Données projet'!$B$11,Paramètres!$A$1:$I$89,3,0)*0.475*44/12</f>
        <v>1.5495592735778019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18.218308154837111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345.45636360520137</v>
      </c>
      <c r="T151" s="59">
        <f t="shared" si="142"/>
        <v>469.30074822262549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38.531542112342741</v>
      </c>
      <c r="AA151" s="21">
        <f>EXP(-LN(2)/25)*AA150+(1-EXP(-LN(2)/25))/(LN(2)/25)*Calculateur!V151*Calculateur!X151*VLOOKUP('Données projet'!$B$9,Paramètres!$A$1:$I$89,3,0)*0.475*44/12</f>
        <v>3.0650015551346641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41.596543667477405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-4.1677594708744434E-14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254.00493808294931</v>
      </c>
      <c r="BJ151" s="59">
        <f t="shared" si="146"/>
        <v>365.76175372075869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16.34188488263073</v>
      </c>
      <c r="BQ151" s="21">
        <f>EXP(-LN(2)/25)*BQ150+(1-EXP(-LN(2)/25))/(LN(2)/25)*Calculateur!BL151*Calculateur!BN151*VLOOKUP('Données projet'!$B$11,Paramètres!$A$1:$I$89,3,0)*0.475*44/12</f>
        <v>1.5071864937540362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17.849071376384767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345.45636360520137</v>
      </c>
      <c r="T152" s="59">
        <f t="shared" si="142"/>
        <v>469.30074822262549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37.775962073439764</v>
      </c>
      <c r="AA152" s="21">
        <f>EXP(-LN(2)/25)*AA151+(1-EXP(-LN(2)/25))/(LN(2)/25)*Calculateur!V152*Calculateur!X152*VLOOKUP('Données projet'!$B$9,Paramètres!$A$1:$I$89,3,0)*0.475*44/12</f>
        <v>2.98118892642808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40.757150999867847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-4.1677594708744434E-14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254.00493808294931</v>
      </c>
      <c r="BJ152" s="59">
        <f t="shared" si="146"/>
        <v>365.76175372075869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16.021430487647905</v>
      </c>
      <c r="BQ152" s="21">
        <f>EXP(-LN(2)/25)*BQ151+(1-EXP(-LN(2)/25))/(LN(2)/25)*Calculateur!BL152*Calculateur!BN152*VLOOKUP('Données projet'!$B$11,Paramètres!$A$1:$I$89,3,0)*0.475*44/12</f>
        <v>1.4659723998228391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17.487402887470743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345.45636360520137</v>
      </c>
      <c r="T153" s="59">
        <f t="shared" si="142"/>
        <v>469.30074822262549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37.035198498241357</v>
      </c>
      <c r="AA153" s="21">
        <f>EXP(-LN(2)/25)*AA152+(1-EXP(-LN(2)/25))/(LN(2)/25)*Calculateur!V153*Calculateur!X153*VLOOKUP('Données projet'!$B$9,Paramètres!$A$1:$I$89,3,0)*0.475*44/12</f>
        <v>2.899668158460992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39.934866656702347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-4.1677594708744434E-14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254.00493808294931</v>
      </c>
      <c r="BJ153" s="59">
        <f t="shared" si="146"/>
        <v>365.76175372075869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15.707260007892812</v>
      </c>
      <c r="BQ153" s="21">
        <f>EXP(-LN(2)/25)*BQ152+(1-EXP(-LN(2)/25))/(LN(2)/25)*Calculateur!BL153*Calculateur!BN153*VLOOKUP('Données projet'!$B$11,Paramètres!$A$1:$I$89,3,0)*0.475*44/12</f>
        <v>1.4258853074575455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17.133145315350358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345.45636360520137</v>
      </c>
      <c r="T154" s="59">
        <f t="shared" si="142"/>
        <v>469.30074822262549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36.308960844931427</v>
      </c>
      <c r="AA154" s="21">
        <f>EXP(-LN(2)/25)*AA153+(1-EXP(-LN(2)/25))/(LN(2)/25)*Calculateur!V154*Calculateur!X154*VLOOKUP('Données projet'!$B$9,Paramètres!$A$1:$I$89,3,0)*0.475*44/12</f>
        <v>2.8203765801809548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39.129337425112382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-4.1677594708744434E-14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254.00493808294931</v>
      </c>
      <c r="BJ154" s="59">
        <f t="shared" si="146"/>
        <v>365.76175372075869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15.399250219620644</v>
      </c>
      <c r="BQ154" s="21">
        <f>EXP(-LN(2)/25)*BQ153+(1-EXP(-LN(2)/25))/(LN(2)/25)*Calculateur!BL154*Calculateur!BN154*VLOOKUP('Données projet'!$B$11,Paramètres!$A$1:$I$89,3,0)*0.475*44/12</f>
        <v>1.3868943987410696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16.786144618361714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345.45636360520137</v>
      </c>
      <c r="T155" s="59">
        <f t="shared" si="142"/>
        <v>469.30074822262549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35.596964269041671</v>
      </c>
      <c r="AA155" s="21">
        <f>EXP(-LN(2)/25)*AA154+(1-EXP(-LN(2)/25))/(LN(2)/25)*Calculateur!V155*Calculateur!X155*VLOOKUP('Données projet'!$B$9,Paramètres!$A$1:$I$89,3,0)*0.475*44/12</f>
        <v>2.7432532342787481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38.340217503320417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-4.1677594708744434E-14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254.00493808294931</v>
      </c>
      <c r="BJ155" s="59">
        <f t="shared" si="146"/>
        <v>365.76175372075869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15.097280315429073</v>
      </c>
      <c r="BQ155" s="21">
        <f>EXP(-LN(2)/25)*BQ154+(1-EXP(-LN(2)/25))/(LN(2)/25)*Calculateur!BL155*Calculateur!BN155*VLOOKUP('Données projet'!$B$11,Paramètres!$A$1:$I$89,3,0)*0.475*44/12</f>
        <v>1.3489696984738884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16.446250013902961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345.45636360520137</v>
      </c>
      <c r="T156" s="59">
        <f t="shared" si="142"/>
        <v>469.30074822262549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34.898929511730088</v>
      </c>
      <c r="AA156" s="21">
        <f>EXP(-LN(2)/25)*AA155+(1-EXP(-LN(2)/25))/(LN(2)/25)*Calculateur!V156*Calculateur!X156*VLOOKUP('Données projet'!$B$9,Paramètres!$A$1:$I$89,3,0)*0.475*44/12</f>
        <v>2.6682388303259779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37.567168342056064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-4.1677594708744434E-14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254.00493808294931</v>
      </c>
      <c r="BJ156" s="59">
        <f t="shared" si="146"/>
        <v>365.76175372075869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14.801231856875244</v>
      </c>
      <c r="BQ156" s="21">
        <f>EXP(-LN(2)/25)*BQ155+(1-EXP(-LN(2)/25))/(LN(2)/25)*Calculateur!BL156*Calculateur!BN156*VLOOKUP('Données projet'!$B$11,Paramètres!$A$1:$I$89,3,0)*0.475*44/12</f>
        <v>1.3120820511298865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16.113313908005132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345.45636360520137</v>
      </c>
      <c r="T157" s="59">
        <f t="shared" si="142"/>
        <v>469.30074822262549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34.214582790250219</v>
      </c>
      <c r="AA157" s="21">
        <f>EXP(-LN(2)/25)*AA156+(1-EXP(-LN(2)/25))/(LN(2)/25)*Calculateur!V157*Calculateur!X157*VLOOKUP('Données projet'!$B$9,Paramètres!$A$1:$I$89,3,0)*0.475*44/12</f>
        <v>2.5952756991941324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36.809858489444352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-4.1677594708744434E-14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254.00493808294931</v>
      </c>
      <c r="BJ157" s="59">
        <f t="shared" si="146"/>
        <v>365.76175372075869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14.510988728021927</v>
      </c>
      <c r="BQ157" s="21">
        <f>EXP(-LN(2)/25)*BQ156+(1-EXP(-LN(2)/25))/(LN(2)/25)*Calculateur!BL157*Calculateur!BN157*VLOOKUP('Données projet'!$B$11,Paramètres!$A$1:$I$89,3,0)*0.475*44/12</f>
        <v>1.2762030984423436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15.787191826464269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345.45636360520137</v>
      </c>
      <c r="T158" s="59">
        <f t="shared" si="142"/>
        <v>469.30074822262549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33.543655690568286</v>
      </c>
      <c r="AA158" s="21">
        <f>EXP(-LN(2)/25)*AA157+(1-EXP(-LN(2)/25))/(LN(2)/25)*Calculateur!V158*Calculateur!X158*VLOOKUP('Données projet'!$B$9,Paramètres!$A$1:$I$89,3,0)*0.475*44/12</f>
        <v>2.5243077487200516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36.067963439288334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-4.1677594708744434E-14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254.00493808294931</v>
      </c>
      <c r="BJ158" s="59">
        <f t="shared" si="146"/>
        <v>365.76175372075869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14.226437089894594</v>
      </c>
      <c r="BQ158" s="21">
        <f>EXP(-LN(2)/25)*BQ157+(1-EXP(-LN(2)/25))/(LN(2)/25)*Calculateur!BL158*Calculateur!BN158*VLOOKUP('Données projet'!$B$11,Paramètres!$A$1:$I$89,3,0)*0.475*44/12</f>
        <v>1.2413052576028336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15.467742347497428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345.45636360520137</v>
      </c>
      <c r="T159" s="59">
        <f t="shared" si="142"/>
        <v>469.30074822262549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32.885885062085997</v>
      </c>
      <c r="AA159" s="21">
        <f>EXP(-LN(2)/25)*AA158+(1-EXP(-LN(2)/25))/(LN(2)/25)*Calculateur!V159*Calculateur!X159*VLOOKUP('Données projet'!$B$9,Paramètres!$A$1:$I$89,3,0)*0.475*44/12</f>
        <v>2.4552804205837266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35.341165482669723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-4.1677594708744434E-14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254.00493808294931</v>
      </c>
      <c r="BJ159" s="59">
        <f t="shared" si="146"/>
        <v>365.76175372075869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13.947465335831577</v>
      </c>
      <c r="BQ159" s="21">
        <f>EXP(-LN(2)/25)*BQ158+(1-EXP(-LN(2)/25))/(LN(2)/25)*Calculateur!BL159*Calculateur!BN159*VLOOKUP('Données projet'!$B$11,Paramètres!$A$1:$I$89,3,0)*0.475*44/12</f>
        <v>1.2073617000562777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15.154827035887855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345.45636360520137</v>
      </c>
      <c r="T160" s="59">
        <f t="shared" si="142"/>
        <v>469.30074822262549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32.241012914427778</v>
      </c>
      <c r="AA160" s="21">
        <f>EXP(-LN(2)/25)*AA159+(1-EXP(-LN(2)/25))/(LN(2)/25)*Calculateur!V160*Calculateur!X160*VLOOKUP('Données projet'!$B$9,Paramètres!$A$1:$I$89,3,0)*0.475*44/12</f>
        <v>2.3881406483652787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34.629153562793057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-4.1677594708744434E-14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254.00493808294931</v>
      </c>
      <c r="BJ160" s="59">
        <f t="shared" si="146"/>
        <v>365.76175372075869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13.673964047709767</v>
      </c>
      <c r="BQ160" s="21">
        <f>EXP(-LN(2)/25)*BQ159+(1-EXP(-LN(2)/25))/(LN(2)/25)*Calculateur!BL160*Calculateur!BN160*VLOOKUP('Données projet'!$B$11,Paramètres!$A$1:$I$89,3,0)*0.475*44/12</f>
        <v>1.1743463308758464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14.848310378585612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345.45636360520137</v>
      </c>
      <c r="T161" s="59">
        <f t="shared" si="142"/>
        <v>469.30074822262549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31.608786316251962</v>
      </c>
      <c r="AA161" s="21">
        <f>EXP(-LN(2)/25)*AA160+(1-EXP(-LN(2)/25))/(LN(2)/25)*Calculateur!V161*Calculateur!X161*VLOOKUP('Données projet'!$B$9,Paramètres!$A$1:$I$89,3,0)*0.475*44/12</f>
        <v>2.3228368167488718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33.931623133000834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-4.1677594708744434E-14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254.00493808294931</v>
      </c>
      <c r="BJ161" s="59">
        <f t="shared" si="146"/>
        <v>365.76175372075869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13.405825953028712</v>
      </c>
      <c r="BQ161" s="21">
        <f>EXP(-LN(2)/25)*BQ160+(1-EXP(-LN(2)/25))/(LN(2)/25)*Calculateur!BL161*Calculateur!BN161*VLOOKUP('Données projet'!$B$11,Paramètres!$A$1:$I$89,3,0)*0.475*44/12</f>
        <v>1.1422337687018569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14.548059721730569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345.45636360520137</v>
      </c>
      <c r="T162" s="59">
        <f t="shared" si="142"/>
        <v>469.30074822262549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30.988957296046227</v>
      </c>
      <c r="AA162" s="21">
        <f>EXP(-LN(2)/25)*AA161+(1-EXP(-LN(2)/25))/(LN(2)/25)*Calculateur!V162*Calculateur!X162*VLOOKUP('Données projet'!$B$9,Paramètres!$A$1:$I$89,3,0)*0.475*44/12</f>
        <v>2.2593187218421944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33.248276017888422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-4.1677594708744434E-14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254.00493808294931</v>
      </c>
      <c r="BJ162" s="59">
        <f t="shared" si="146"/>
        <v>365.76175372075869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13.142945882836264</v>
      </c>
      <c r="BQ162" s="21">
        <f>EXP(-LN(2)/25)*BQ161+(1-EXP(-LN(2)/25))/(LN(2)/25)*Calculateur!BL162*Calculateur!BN162*VLOOKUP('Données projet'!$B$11,Paramètres!$A$1:$I$89,3,0)*0.475*44/12</f>
        <v>1.1109993262292412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14.253945209065504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345.45636360520137</v>
      </c>
      <c r="T163" s="59">
        <f t="shared" si="142"/>
        <v>469.30074822262549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30.381282744868354</v>
      </c>
      <c r="AA163" s="21">
        <f>EXP(-LN(2)/25)*AA162+(1-EXP(-LN(2)/25))/(LN(2)/25)*Calculateur!V163*Calculateur!X163*VLOOKUP('Données projet'!$B$9,Paramètres!$A$1:$I$89,3,0)*0.475*44/12</f>
        <v>2.1975375325810118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32.578820277449367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-4.1677594708744434E-14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254.00493808294931</v>
      </c>
      <c r="BJ163" s="59">
        <f t="shared" si="146"/>
        <v>365.76175372075869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12.885220730479279</v>
      </c>
      <c r="BQ163" s="21">
        <f>EXP(-LN(2)/25)*BQ162+(1-EXP(-LN(2)/25))/(LN(2)/25)*Calculateur!BL163*Calculateur!BN163*VLOOKUP('Données projet'!$B$11,Paramètres!$A$1:$I$89,3,0)*0.475*44/12</f>
        <v>1.0806189912285873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13.965839721707866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345.45636360520137</v>
      </c>
      <c r="T164" s="59">
        <f t="shared" si="142"/>
        <v>469.30074822262549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29.785524320994199</v>
      </c>
      <c r="AA164" s="21">
        <f>EXP(-LN(2)/25)*AA163+(1-EXP(-LN(2)/25))/(LN(2)/25)*Calculateur!V164*Calculateur!X164*VLOOKUP('Données projet'!$B$9,Paramètres!$A$1:$I$89,3,0)*0.475*44/12</f>
        <v>2.1374457531891076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31.922970074183308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-4.1677594708744434E-14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254.00493808294931</v>
      </c>
      <c r="BJ164" s="59">
        <f t="shared" si="146"/>
        <v>365.76175372075869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12.632549411163193</v>
      </c>
      <c r="BQ164" s="21">
        <f>EXP(-LN(2)/25)*BQ163+(1-EXP(-LN(2)/25))/(LN(2)/25)*Calculateur!BL164*Calculateur!BN164*VLOOKUP('Données projet'!$B$11,Paramètres!$A$1:$I$89,3,0)*0.475*44/12</f>
        <v>1.0510694080861587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13.683618819249352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345.45636360520137</v>
      </c>
      <c r="T165" s="59">
        <f t="shared" si="142"/>
        <v>469.30074822262549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29.20144835643546</v>
      </c>
      <c r="AA165" s="21">
        <f>EXP(-LN(2)/25)*AA164+(1-EXP(-LN(2)/25))/(LN(2)/25)*Calculateur!V165*Calculateur!X165*VLOOKUP('Données projet'!$B$9,Paramètres!$A$1:$I$89,3,0)*0.475*44/12</f>
        <v>2.0789971866647643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31.280445543100225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-4.1677594708744434E-14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254.00493808294931</v>
      </c>
      <c r="BJ165" s="59">
        <f t="shared" si="146"/>
        <v>365.76175372075869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12.38483282230461</v>
      </c>
      <c r="BQ165" s="21">
        <f>EXP(-LN(2)/25)*BQ164+(1-EXP(-LN(2)/25))/(LN(2)/25)*Calculateur!BL165*Calculateur!BN165*VLOOKUP('Données projet'!$B$11,Paramètres!$A$1:$I$89,3,0)*0.475*44/12</f>
        <v>1.0223278598487047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13.407160682153314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345.45636360520137</v>
      </c>
      <c r="T166" s="59">
        <f t="shared" si="142"/>
        <v>469.30074822262549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28.628825765290557</v>
      </c>
      <c r="AA166" s="21">
        <f>EXP(-LN(2)/25)*AA165+(1-EXP(-LN(2)/25))/(LN(2)/25)*Calculateur!V166*Calculateur!X166*VLOOKUP('Données projet'!$B$9,Paramètres!$A$1:$I$89,3,0)*0.475*44/12</f>
        <v>2.0221468992657057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30.650972664556264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-4.1677594708744434E-14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254.00493808294931</v>
      </c>
      <c r="BJ166" s="59">
        <f t="shared" si="146"/>
        <v>365.76175372075869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12.141973804661342</v>
      </c>
      <c r="BQ166" s="21">
        <f>EXP(-LN(2)/25)*BQ165+(1-EXP(-LN(2)/25))/(LN(2)/25)*Calculateur!BL166*Calculateur!BN166*VLOOKUP('Données projet'!$B$11,Paramètres!$A$1:$I$89,3,0)*0.475*44/12</f>
        <v>0.99437225075925628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13.136346055420599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345.45636360520137</v>
      </c>
      <c r="T167" s="59">
        <f t="shared" si="142"/>
        <v>469.30074822262549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28.067431953892712</v>
      </c>
      <c r="AA167" s="21">
        <f>EXP(-LN(2)/25)*AA166+(1-EXP(-LN(2)/25))/(LN(2)/25)*Calculateur!V167*Calculateur!X167*VLOOKUP('Données projet'!$B$9,Paramètres!$A$1:$I$89,3,0)*0.475*44/12</f>
        <v>1.9668511859652011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30.034283139857912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-4.1677594708744434E-14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254.00493808294931</v>
      </c>
      <c r="BJ167" s="59">
        <f t="shared" si="146"/>
        <v>365.76175372075869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11.903877104224685</v>
      </c>
      <c r="BQ167" s="21">
        <f>EXP(-LN(2)/25)*BQ166+(1-EXP(-LN(2)/25))/(LN(2)/25)*Calculateur!BL167*Calculateur!BN167*VLOOKUP('Données projet'!$B$11,Paramètres!$A$1:$I$89,3,0)*0.475*44/12</f>
        <v>0.96718108927048041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12.871058193495166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345.45636360520137</v>
      </c>
      <c r="T168" s="59">
        <f t="shared" si="142"/>
        <v>469.30074822262549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27.517046732719962</v>
      </c>
      <c r="AA168" s="21">
        <f>EXP(-LN(2)/25)*AA167+(1-EXP(-LN(2)/25))/(LN(2)/25)*Calculateur!V168*Calculateur!X168*VLOOKUP('Données projet'!$B$9,Paramètres!$A$1:$I$89,3,0)*0.475*44/12</f>
        <v>1.9130675368527741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29.430114269572737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-4.1677594708744434E-14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254.00493808294931</v>
      </c>
      <c r="BJ168" s="59">
        <f t="shared" si="146"/>
        <v>365.76175372075869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11.670449334858944</v>
      </c>
      <c r="BQ168" s="21">
        <f>EXP(-LN(2)/25)*BQ167+(1-EXP(-LN(2)/25))/(LN(2)/25)*Calculateur!BL168*Calculateur!BN168*VLOOKUP('Données projet'!$B$11,Paramètres!$A$1:$I$89,3,0)*0.475*44/12</f>
        <v>0.94073347152253617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12.61118280638148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345.45636360520137</v>
      </c>
      <c r="T169" s="59">
        <f t="shared" si="142"/>
        <v>469.30074822262549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26.977454230032574</v>
      </c>
      <c r="AA169" s="21">
        <f>EXP(-LN(2)/25)*AA168+(1-EXP(-LN(2)/25))/(LN(2)/25)*Calculateur!V169*Calculateur!X169*VLOOKUP('Données projet'!$B$9,Paramètres!$A$1:$I$89,3,0)*0.475*44/12</f>
        <v>1.8607546044536856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28.838208834486259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-4.1677594708744434E-14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254.00493808294931</v>
      </c>
      <c r="BJ169" s="59">
        <f t="shared" si="146"/>
        <v>365.76175372075869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11.441598941673583</v>
      </c>
      <c r="BQ169" s="21">
        <f>EXP(-LN(2)/25)*BQ168+(1-EXP(-LN(2)/25))/(LN(2)/25)*Calculateur!BL169*Calculateur!BN169*VLOOKUP('Données projet'!$B$11,Paramètres!$A$1:$I$89,3,0)*0.475*44/12</f>
        <v>0.91500906527272918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12.356608006946312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345.45636360520137</v>
      </c>
      <c r="T170" s="59">
        <f t="shared" si="142"/>
        <v>469.30074822262549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26.448442807203957</v>
      </c>
      <c r="AA170" s="21">
        <f>EXP(-LN(2)/25)*AA169+(1-EXP(-LN(2)/25))/(LN(2)/25)*Calculateur!V170*Calculateur!X170*VLOOKUP('Données projet'!$B$9,Paramètres!$A$1:$I$89,3,0)*0.475*44/12</f>
        <v>1.8098721719420676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28.258314979146025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-4.1677594708744434E-14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254.00493808294931</v>
      </c>
      <c r="BJ170" s="59">
        <f t="shared" si="146"/>
        <v>365.76175372075869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11.217236165113629</v>
      </c>
      <c r="BQ170" s="21">
        <f>EXP(-LN(2)/25)*BQ169+(1-EXP(-LN(2)/25))/(LN(2)/25)*Calculateur!BL170*Calculateur!BN170*VLOOKUP('Données projet'!$B$11,Paramètres!$A$1:$I$89,3,0)*0.475*44/12</f>
        <v>0.8899880942646109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12.10722425937824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345.45636360520137</v>
      </c>
      <c r="T171" s="59">
        <f t="shared" si="142"/>
        <v>469.30074822262549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25.9298049757119</v>
      </c>
      <c r="AA171" s="21">
        <f>EXP(-LN(2)/25)*AA170+(1-EXP(-LN(2)/25))/(LN(2)/25)*Calculateur!V171*Calculateur!X171*VLOOKUP('Données projet'!$B$9,Paramètres!$A$1:$I$89,3,0)*0.475*44/12</f>
        <v>1.7603811222232708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27.690186097935172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-4.1677594708744434E-14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254.00493808294931</v>
      </c>
      <c r="BJ171" s="59">
        <f t="shared" si="146"/>
        <v>365.76175372075869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10.997273005754236</v>
      </c>
      <c r="BQ171" s="21">
        <f>EXP(-LN(2)/25)*BQ170+(1-EXP(-LN(2)/25))/(LN(2)/25)*Calculateur!BL171*Calculateur!BN171*VLOOKUP('Données projet'!$B$11,Paramètres!$A$1:$I$89,3,0)*0.475*44/12</f>
        <v>0.86565132302450531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11.862924328778741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345.45636360520137</v>
      </c>
      <c r="T172" s="59">
        <f t="shared" si="142"/>
        <v>469.30074822262549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25.421337315757562</v>
      </c>
      <c r="AA172" s="21">
        <f>EXP(-LN(2)/25)*AA171+(1-EXP(-LN(2)/25))/(LN(2)/25)*Calculateur!V172*Calculateur!X172*VLOOKUP('Données projet'!$B$9,Paramètres!$A$1:$I$89,3,0)*0.475*44/12</f>
        <v>1.7122434078616557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27.133580723619218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-4.1677594708744434E-14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254.00493808294931</v>
      </c>
      <c r="BJ172" s="59">
        <f t="shared" si="146"/>
        <v>365.76175372075869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10.7816231897856</v>
      </c>
      <c r="BQ172" s="21">
        <f>EXP(-LN(2)/25)*BQ171+(1-EXP(-LN(2)/25))/(LN(2)/25)*Calculateur!BL172*Calculateur!BN172*VLOOKUP('Données projet'!$B$11,Paramètres!$A$1:$I$89,3,0)*0.475*44/12</f>
        <v>0.84198004207377564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11.623603231859375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345.45636360520137</v>
      </c>
      <c r="T173" s="59">
        <f t="shared" si="142"/>
        <v>469.30074822262549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24.922840396480279</v>
      </c>
      <c r="AA173" s="21">
        <f>EXP(-LN(2)/25)*AA172+(1-EXP(-LN(2)/25))/(LN(2)/25)*Calculateur!V173*Calculateur!X173*VLOOKUP('Données projet'!$B$9,Paramètres!$A$1:$I$89,3,0)*0.475*44/12</f>
        <v>1.6654220218307114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26.58826241831099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-4.1677594708744434E-14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254.00493808294931</v>
      </c>
      <c r="BJ173" s="59">
        <f t="shared" si="146"/>
        <v>365.76175372075869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10.570202135174711</v>
      </c>
      <c r="BQ173" s="21">
        <f>EXP(-LN(2)/25)*BQ172+(1-EXP(-LN(2)/25))/(LN(2)/25)*Calculateur!BL173*Calculateur!BN173*VLOOKUP('Données projet'!$B$11,Paramètres!$A$1:$I$89,3,0)*0.475*44/12</f>
        <v>0.81895605354546219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11.389158188720172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345.45636360520137</v>
      </c>
      <c r="T174" s="59">
        <f t="shared" si="142"/>
        <v>469.30074822262549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24.434118697736924</v>
      </c>
      <c r="AA174" s="21">
        <f>EXP(-LN(2)/25)*AA173+(1-EXP(-LN(2)/25))/(LN(2)/25)*Calculateur!V174*Calculateur!X174*VLOOKUP('Données projet'!$B$9,Paramètres!$A$1:$I$89,3,0)*0.475*44/12</f>
        <v>1.6198809690630129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26.053999666799935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-4.1677594708744434E-14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254.00493808294931</v>
      </c>
      <c r="BJ174" s="59">
        <f t="shared" si="146"/>
        <v>365.76175372075869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10.362926918490631</v>
      </c>
      <c r="BQ174" s="21">
        <f>EXP(-LN(2)/25)*BQ173+(1-EXP(-LN(2)/25))/(LN(2)/25)*Calculateur!BL174*Calculateur!BN174*VLOOKUP('Données projet'!$B$11,Paramètres!$A$1:$I$89,3,0)*0.475*44/12</f>
        <v>0.79656165719423444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11.159488575684865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345.45636360520137</v>
      </c>
      <c r="T175" s="59">
        <f t="shared" si="142"/>
        <v>469.30074822262549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23.954980533415124</v>
      </c>
      <c r="AA175" s="21">
        <f>EXP(-LN(2)/25)*AA174+(1-EXP(-LN(2)/25))/(LN(2)/25)*Calculateur!V175*Calculateur!X175*VLOOKUP('Données projet'!$B$9,Paramètres!$A$1:$I$89,3,0)*0.475*44/12</f>
        <v>1.575585238778147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25.53056577219327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-4.1677594708744434E-14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254.00493808294931</v>
      </c>
      <c r="BJ175" s="59">
        <f t="shared" si="146"/>
        <v>365.76175372075869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10.159716242380327</v>
      </c>
      <c r="BQ175" s="21">
        <f>EXP(-LN(2)/25)*BQ174+(1-EXP(-LN(2)/25))/(LN(2)/25)*Calculateur!BL175*Calculateur!BN175*VLOOKUP('Données projet'!$B$11,Paramètres!$A$1:$I$89,3,0)*0.475*44/12</f>
        <v>0.77477963678890116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10.934495879169228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345.45636360520137</v>
      </c>
      <c r="T176" s="59">
        <f t="shared" si="142"/>
        <v>469.30074822262549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23.485237976250254</v>
      </c>
      <c r="AA176" s="21">
        <f>EXP(-LN(2)/25)*AA175+(1-EXP(-LN(2)/25))/(LN(2)/25)*Calculateur!V176*Calculateur!X176*VLOOKUP('Données projet'!$B$9,Paramètres!$A$1:$I$89,3,0)*0.475*44/12</f>
        <v>1.5325007775673321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25.017738753817586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-4.1677594708744434E-14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254.00493808294931</v>
      </c>
      <c r="BJ176" s="59">
        <f t="shared" si="146"/>
        <v>365.76175372075869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9.9604904036822717</v>
      </c>
      <c r="BQ176" s="21">
        <f>EXP(-LN(2)/25)*BQ175+(1-EXP(-LN(2)/25))/(LN(2)/25)*Calculateur!BL176*Calculateur!BN176*VLOOKUP('Données projet'!$B$11,Paramètres!$A$1:$I$89,3,0)*0.475*44/12</f>
        <v>0.75359324687701834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10.71408365055929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345.45636360520137</v>
      </c>
      <c r="T177" s="59">
        <f t="shared" si="142"/>
        <v>469.30074822262549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23.024706784116717</v>
      </c>
      <c r="AA177" s="21">
        <f>EXP(-LN(2)/25)*AA176+(1-EXP(-LN(2)/25))/(LN(2)/25)*Calculateur!V177*Calculateur!X177*VLOOKUP('Données projet'!$B$9,Paramètres!$A$1:$I$89,3,0)*0.475*44/12</f>
        <v>1.49059446321404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24.515301247330758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-4.1677594708744434E-14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254.00493808294931</v>
      </c>
      <c r="BJ177" s="59">
        <f t="shared" si="146"/>
        <v>365.76175372075869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9.7651712621653228</v>
      </c>
      <c r="BQ177" s="21">
        <f>EXP(-LN(2)/25)*BQ176+(1-EXP(-LN(2)/25))/(LN(2)/25)*Calculateur!BL177*Calculateur!BN177*VLOOKUP('Données projet'!$B$11,Paramètres!$A$1:$I$89,3,0)*0.475*44/12</f>
        <v>0.73298619991141978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10.498157462076742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345.45636360520137</v>
      </c>
      <c r="T178" s="59">
        <f t="shared" si="142"/>
        <v>469.30074822262549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22.573206327764627</v>
      </c>
      <c r="AA178" s="21">
        <f>EXP(-LN(2)/25)*AA177+(1-EXP(-LN(2)/25))/(LN(2)/25)*Calculateur!V178*Calculateur!X178*VLOOKUP('Données projet'!$B$9,Paramètres!$A$1:$I$89,3,0)*0.475*44/12</f>
        <v>1.449834079230496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24.023040406995122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-4.1677594708744434E-14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254.00493808294931</v>
      </c>
      <c r="BJ178" s="59">
        <f t="shared" si="146"/>
        <v>365.76175372075869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9.5736822098806087</v>
      </c>
      <c r="BQ178" s="21">
        <f>EXP(-LN(2)/25)*BQ177+(1-EXP(-LN(2)/25))/(LN(2)/25)*Calculateur!BL178*Calculateur!BN178*VLOOKUP('Données projet'!$B$11,Paramètres!$A$1:$I$89,3,0)*0.475*44/12</f>
        <v>0.71294265372877297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10.286624863609381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345.45636360520137</v>
      </c>
      <c r="T179" s="59">
        <f t="shared" si="142"/>
        <v>469.30074822262549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22.130559519973517</v>
      </c>
      <c r="AA179" s="21">
        <f>EXP(-LN(2)/25)*AA178+(1-EXP(-LN(2)/25))/(LN(2)/25)*Calculateur!V179*Calculateur!X179*VLOOKUP('Données projet'!$B$9,Paramètres!$A$1:$I$89,3,0)*0.475*44/12</f>
        <v>1.4101882900904774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23.540747810063994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-4.1677594708744434E-14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254.00493808294931</v>
      </c>
      <c r="BJ179" s="59">
        <f t="shared" si="146"/>
        <v>365.76175372075869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9.3859481411144081</v>
      </c>
      <c r="BQ179" s="21">
        <f>EXP(-LN(2)/25)*BQ178+(1-EXP(-LN(2)/25))/(LN(2)/25)*Calculateur!BL179*Calculateur!BN179*VLOOKUP('Données projet'!$B$11,Paramètres!$A$1:$I$89,3,0)*0.475*44/12</f>
        <v>0.69344719937053501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10.079395340484943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345.45636360520137</v>
      </c>
      <c r="T180" s="59">
        <f t="shared" si="142"/>
        <v>469.30074822262549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21.696592746095295</v>
      </c>
      <c r="AA180" s="21">
        <f>EXP(-LN(2)/25)*AA179+(1-EXP(-LN(2)/25))/(LN(2)/25)*Calculateur!V180*Calculateur!X180*VLOOKUP('Données projet'!$B$9,Paramètres!$A$1:$I$89,3,0)*0.475*44/12</f>
        <v>1.3716266171393741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23.068219363234668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-4.1677594708744434E-14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254.00493808294931</v>
      </c>
      <c r="BJ180" s="59">
        <f t="shared" si="146"/>
        <v>365.76175372075869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9.201895422930237</v>
      </c>
      <c r="BQ180" s="21">
        <f>EXP(-LN(2)/25)*BQ179+(1-EXP(-LN(2)/25))/(LN(2)/25)*Calculateur!BL180*Calculateur!BN180*VLOOKUP('Données projet'!$B$11,Paramètres!$A$1:$I$89,3,0)*0.475*44/12</f>
        <v>0.67448484923694441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9.8763802721671823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345.45636360520137</v>
      </c>
      <c r="T181" s="59">
        <f t="shared" si="142"/>
        <v>469.30074822262549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21.271135795959232</v>
      </c>
      <c r="AA181" s="21">
        <f>EXP(-LN(2)/25)*AA180+(1-EXP(-LN(2)/25))/(LN(2)/25)*Calculateur!V181*Calculateur!X181*VLOOKUP('Données projet'!$B$9,Paramètres!$A$1:$I$89,3,0)*0.475*44/12</f>
        <v>1.3341194151629889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22.60525521112222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-4.1677594708744434E-14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254.00493808294931</v>
      </c>
      <c r="BJ181" s="59">
        <f t="shared" si="146"/>
        <v>365.76175372075869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9.0214518662885848</v>
      </c>
      <c r="BQ181" s="21">
        <f>EXP(-LN(2)/25)*BQ180+(1-EXP(-LN(2)/25))/(LN(2)/25)*Calculateur!BL181*Calculateur!BN181*VLOOKUP('Données projet'!$B$11,Paramètres!$A$1:$I$89,3,0)*0.475*44/12</f>
        <v>0.65604102556494348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9.6774928918535288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345.45636360520137</v>
      </c>
      <c r="T182" s="59">
        <f t="shared" si="142"/>
        <v>469.30074822262549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20.854021797112221</v>
      </c>
      <c r="AA182" s="21">
        <f>EXP(-LN(2)/25)*AA181+(1-EXP(-LN(2)/25))/(LN(2)/25)*Calculateur!V182*Calculateur!X182*VLOOKUP('Données projet'!$B$9,Paramètres!$A$1:$I$89,3,0)*0.475*44/12</f>
        <v>1.2976378495970662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22.151659646709287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-4.1677594708744434E-14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254.00493808294931</v>
      </c>
      <c r="BJ182" s="59">
        <f t="shared" si="146"/>
        <v>365.76175372075869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8.844546697732973</v>
      </c>
      <c r="BQ182" s="21">
        <f>EXP(-LN(2)/25)*BQ181+(1-EXP(-LN(2)/25))/(LN(2)/25)*Calculateur!BL182*Calculateur!BN182*VLOOKUP('Données projet'!$B$11,Paramètres!$A$1:$I$89,3,0)*0.475*44/12</f>
        <v>0.63810154922117202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9.4826482469541453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345.45636360520137</v>
      </c>
      <c r="T183" s="59">
        <f t="shared" si="142"/>
        <v>469.30074822262549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20.445087149368181</v>
      </c>
      <c r="AA183" s="21">
        <f>EXP(-LN(2)/25)*AA182+(1-EXP(-LN(2)/25))/(LN(2)/25)*Calculateur!V183*Calculateur!X183*VLOOKUP('Données projet'!$B$9,Paramètres!$A$1:$I$89,3,0)*0.475*44/12</f>
        <v>1.2621538743600258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21.707241023728209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-4.1677594708744434E-14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254.00493808294931</v>
      </c>
      <c r="BJ183" s="59">
        <f t="shared" si="146"/>
        <v>365.76175372075869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8.6711105316312391</v>
      </c>
      <c r="BQ183" s="21">
        <f>EXP(-LN(2)/25)*BQ182+(1-EXP(-LN(2)/25))/(LN(2)/25)*Calculateur!BL183*Calculateur!BN183*VLOOKUP('Données projet'!$B$11,Paramètres!$A$1:$I$89,3,0)*0.475*44/12</f>
        <v>0.62065262880141703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9.2917631604326569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345.45636360520137</v>
      </c>
      <c r="T184" s="59">
        <f t="shared" si="142"/>
        <v>469.30074822262549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20.044171460640896</v>
      </c>
      <c r="AA184" s="21">
        <f>EXP(-LN(2)/25)*AA183+(1-EXP(-LN(2)/25))/(LN(2)/25)*Calculateur!V184*Calculateur!X184*VLOOKUP('Données projet'!$B$9,Paramètres!$A$1:$I$89,3,0)*0.475*44/12</f>
        <v>1.2276402102918633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21.27181167093276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-4.1677594708744434E-14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254.00493808294931</v>
      </c>
      <c r="BJ184" s="59">
        <f t="shared" si="146"/>
        <v>365.76175372075869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8.5010753429611441</v>
      </c>
      <c r="BQ184" s="21">
        <f>EXP(-LN(2)/25)*BQ183+(1-EXP(-LN(2)/25))/(LN(2)/25)*Calculateur!BL184*Calculateur!BN184*VLOOKUP('Données projet'!$B$11,Paramètres!$A$1:$I$89,3,0)*0.475*44/12</f>
        <v>0.60368085002813909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9.1047561929892833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345.45636360520137</v>
      </c>
      <c r="T185" s="59">
        <f t="shared" si="142"/>
        <v>469.30074822262549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19.651117484035129</v>
      </c>
      <c r="AA185" s="21">
        <f>EXP(-LN(2)/25)*AA184+(1-EXP(-LN(2)/25))/(LN(2)/25)*Calculateur!V185*Calculateur!X185*VLOOKUP('Données projet'!$B$9,Paramètres!$A$1:$I$89,3,0)*0.475*44/12</f>
        <v>1.1940703241826394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20.845187808217769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-4.1677594708744434E-14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254.00493808294931</v>
      </c>
      <c r="BJ185" s="59">
        <f t="shared" si="146"/>
        <v>365.76175372075869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8.3343744406296452</v>
      </c>
      <c r="BQ185" s="21">
        <f>EXP(-LN(2)/25)*BQ184+(1-EXP(-LN(2)/25))/(LN(2)/25)*Calculateur!BL185*Calculateur!BN185*VLOOKUP('Données projet'!$B$11,Paramètres!$A$1:$I$89,3,0)*0.475*44/12</f>
        <v>0.58717316543792342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8.921547606067568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345.45636360520137</v>
      </c>
      <c r="T186" s="59">
        <f t="shared" si="142"/>
        <v>469.30074822262549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19.265771056171346</v>
      </c>
      <c r="AA186" s="21">
        <f>EXP(-LN(2)/25)*AA185+(1-EXP(-LN(2)/25))/(LN(2)/25)*Calculateur!V186*Calculateur!X186*VLOOKUP('Données projet'!$B$9,Paramètres!$A$1:$I$89,3,0)*0.475*44/12</f>
        <v>1.1614184083744359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20.427189464545783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-4.1677594708744434E-14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254.00493808294931</v>
      </c>
      <c r="BJ186" s="59">
        <f t="shared" si="146"/>
        <v>365.76175372075869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8.170942441315356</v>
      </c>
      <c r="BQ186" s="21">
        <f>EXP(-LN(2)/25)*BQ185+(1-EXP(-LN(2)/25))/(LN(2)/25)*Calculateur!BL186*Calculateur!BN186*VLOOKUP('Données projet'!$B$11,Paramètres!$A$1:$I$89,3,0)*0.475*44/12</f>
        <v>0.57111688435092867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8.7420593256662844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345.45636360520137</v>
      </c>
      <c r="T187" s="59">
        <f t="shared" si="142"/>
        <v>469.30074822262549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18.887981036719857</v>
      </c>
      <c r="AA187" s="21">
        <f>EXP(-LN(2)/25)*AA186+(1-EXP(-LN(2)/25))/(LN(2)/25)*Calculateur!V187*Calculateur!X187*VLOOKUP('Données projet'!$B$9,Paramètres!$A$1:$I$89,3,0)*0.475*44/12</f>
        <v>1.1296593609210972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20.017640397640953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-4.1677594708744434E-14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254.00493808294931</v>
      </c>
      <c r="BJ187" s="59">
        <f t="shared" si="146"/>
        <v>365.76175372075869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8.0107152438239435</v>
      </c>
      <c r="BQ187" s="21">
        <f>EXP(-LN(2)/25)*BQ186+(1-EXP(-LN(2)/25))/(LN(2)/25)*Calculateur!BL187*Calculateur!BN187*VLOOKUP('Données projet'!$B$11,Paramètres!$A$1:$I$89,3,0)*0.475*44/12</f>
        <v>0.55549966311462085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8.5662149069385638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345.45636360520137</v>
      </c>
      <c r="T188" s="59">
        <f t="shared" si="142"/>
        <v>469.30074822262549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18.517599249120654</v>
      </c>
      <c r="AA188" s="21">
        <f>EXP(-LN(2)/25)*AA187+(1-EXP(-LN(2)/25))/(LN(2)/25)*Calculateur!V188*Calculateur!X188*VLOOKUP('Données projet'!$B$9,Paramètres!$A$1:$I$89,3,0)*0.475*44/12</f>
        <v>1.0987687662905059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19.616368015411158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-4.1677594708744434E-14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254.00493808294931</v>
      </c>
      <c r="BJ188" s="59">
        <f t="shared" si="146"/>
        <v>365.76175372075869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7.8536300039463969</v>
      </c>
      <c r="BQ188" s="21">
        <f>EXP(-LN(2)/25)*BQ187+(1-EXP(-LN(2)/25))/(LN(2)/25)*Calculateur!BL188*Calculateur!BN188*VLOOKUP('Données projet'!$B$11,Paramètres!$A$1:$I$89,3,0)*0.475*44/12</f>
        <v>0.54030949561429387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8.3939394995606911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345.45636360520137</v>
      </c>
      <c r="T189" s="59">
        <f t="shared" si="142"/>
        <v>469.30074822262549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18.154480422465689</v>
      </c>
      <c r="AA189" s="21">
        <f>EXP(-LN(2)/25)*AA188+(1-EXP(-LN(2)/25))/(LN(2)/25)*Calculateur!V189*Calculateur!X189*VLOOKUP('Données projet'!$B$9,Paramètres!$A$1:$I$89,3,0)*0.475*44/12</f>
        <v>1.0687228765945538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19.223203299060241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-4.1677594708744434E-14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254.00493808294931</v>
      </c>
      <c r="BJ189" s="59">
        <f t="shared" si="146"/>
        <v>365.76175372075869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7.699625109810313</v>
      </c>
      <c r="BQ189" s="21">
        <f>EXP(-LN(2)/25)*BQ188+(1-EXP(-LN(2)/25))/(LN(2)/25)*Calculateur!BL189*Calculateur!BN189*VLOOKUP('Données projet'!$B$11,Paramètres!$A$1:$I$89,3,0)*0.475*44/12</f>
        <v>0.52553470404307956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8.2251598138533932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345.45636360520137</v>
      </c>
      <c r="T190" s="59">
        <f t="shared" si="142"/>
        <v>469.30074822262549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17.798482134520814</v>
      </c>
      <c r="AA190" s="21">
        <f>EXP(-LN(2)/25)*AA189+(1-EXP(-LN(2)/25))/(LN(2)/25)*Calculateur!V190*Calculateur!X190*VLOOKUP('Données projet'!$B$9,Paramètres!$A$1:$I$89,3,0)*0.475*44/12</f>
        <v>1.0394985933323821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18.837980727853196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-4.1677594708744434E-14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254.00493808294931</v>
      </c>
      <c r="BJ190" s="59">
        <f t="shared" si="146"/>
        <v>365.76175372075869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7.5486401577145275</v>
      </c>
      <c r="BQ190" s="21">
        <f>EXP(-LN(2)/25)*BQ189+(1-EXP(-LN(2)/25))/(LN(2)/25)*Calculateur!BL190*Calculateur!BN190*VLOOKUP('Données projet'!$B$11,Paramètres!$A$1:$I$89,3,0)*0.475*44/12</f>
        <v>0.51116392992435256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8.0598040876388808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345.45636360520137</v>
      </c>
      <c r="T191" s="59">
        <f t="shared" si="142"/>
        <v>469.30074822262549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17.449464755865023</v>
      </c>
      <c r="AA191" s="21">
        <f>EXP(-LN(2)/25)*AA190+(1-EXP(-LN(2)/25))/(LN(2)/25)*Calculateur!V191*Calculateur!X191*VLOOKUP('Données projet'!$B$9,Paramètres!$A$1:$I$89,3,0)*0.475*44/12</f>
        <v>1.0110734496328528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18.460538205497876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-4.1677594708744434E-14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254.00493808294931</v>
      </c>
      <c r="BJ191" s="59">
        <f t="shared" si="146"/>
        <v>365.76175372075869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7.4006159284376132</v>
      </c>
      <c r="BQ191" s="21">
        <f>EXP(-LN(2)/25)*BQ190+(1-EXP(-LN(2)/25))/(LN(2)/25)*Calculateur!BL191*Calculateur!BN191*VLOOKUP('Données projet'!$B$11,Paramètres!$A$1:$I$89,3,0)*0.475*44/12</f>
        <v>0.49718612537962836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7.8978020538172418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345.45636360520137</v>
      </c>
      <c r="T192" s="59">
        <f t="shared" si="142"/>
        <v>469.30074822262549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17.107291395125088</v>
      </c>
      <c r="AA192" s="21">
        <f>EXP(-LN(2)/25)*AA191+(1-EXP(-LN(2)/25))/(LN(2)/25)*Calculateur!V192*Calculateur!X192*VLOOKUP('Données projet'!$B$9,Paramètres!$A$1:$I$89,3,0)*0.475*44/12</f>
        <v>0.98342559298260057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18.09071698810769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-4.1677594708744434E-14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254.00493808294931</v>
      </c>
      <c r="BJ192" s="59">
        <f t="shared" si="146"/>
        <v>365.76175372075869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7.2554943640109544</v>
      </c>
      <c r="BQ192" s="21">
        <f>EXP(-LN(2)/25)*BQ191+(1-EXP(-LN(2)/25))/(LN(2)/25)*Calculateur!BL192*Calculateur!BN192*VLOOKUP('Données projet'!$B$11,Paramètres!$A$1:$I$89,3,0)*0.475*44/12</f>
        <v>0.48359054463524043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7.7390849086461948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345.45636360520137</v>
      </c>
      <c r="T193" s="59">
        <f t="shared" si="142"/>
        <v>469.30074822262549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16.771827845284122</v>
      </c>
      <c r="AA193" s="21">
        <f>EXP(-LN(2)/25)*AA192+(1-EXP(-LN(2)/25))/(LN(2)/25)*Calculateur!V193*Calculateur!X193*VLOOKUP('Données projet'!$B$9,Paramètres!$A$1:$I$89,3,0)*0.475*44/12</f>
        <v>0.95653376842638704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17.728361613710508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-4.1677594708744434E-14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254.00493808294931</v>
      </c>
      <c r="BJ193" s="59">
        <f t="shared" si="146"/>
        <v>365.76175372075869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7.113218544947288</v>
      </c>
      <c r="BQ193" s="21">
        <f>EXP(-LN(2)/25)*BQ192+(1-EXP(-LN(2)/25))/(LN(2)/25)*Calculateur!BL193*Calculateur!BN193*VLOOKUP('Données projet'!$B$11,Paramètres!$A$1:$I$89,3,0)*0.475*44/12</f>
        <v>0.47036673576126831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7.5835852807085562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345.45636360520137</v>
      </c>
      <c r="T194" s="59">
        <f t="shared" si="142"/>
        <v>469.30074822262549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16.442942531042977</v>
      </c>
      <c r="AA194" s="21">
        <f>EXP(-LN(2)/25)*AA193+(1-EXP(-LN(2)/25))/(LN(2)/25)*Calculateur!V194*Calculateur!X194*VLOOKUP('Données projet'!$B$9,Paramètres!$A$1:$I$89,3,0)*0.475*44/12</f>
        <v>0.93037730222684278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17.373319833269822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-4.1677594708744434E-14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254.00493808294931</v>
      </c>
      <c r="BJ194" s="59">
        <f t="shared" si="146"/>
        <v>365.76175372075869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6.9737326679157796</v>
      </c>
      <c r="BQ194" s="21">
        <f>EXP(-LN(2)/25)*BQ193+(1-EXP(-LN(2)/25))/(LN(2)/25)*Calculateur!BL194*Calculateur!BN194*VLOOKUP('Données projet'!$B$11,Paramètres!$A$1:$I$89,3,0)*0.475*44/12</f>
        <v>0.45750453263636481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7.4312372005521441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345.45636360520137</v>
      </c>
      <c r="T195" s="59">
        <f t="shared" si="142"/>
        <v>469.30074822262549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16.120506457213867</v>
      </c>
      <c r="AA195" s="21">
        <f>EXP(-LN(2)/25)*AA194+(1-EXP(-LN(2)/25))/(LN(2)/25)*Calculateur!V195*Calculateur!X195*VLOOKUP('Données projet'!$B$9,Paramètres!$A$1:$I$89,3,0)*0.475*44/12</f>
        <v>0.90493608597103381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17.025442543184901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-4.1677594708744434E-14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254.00493808294931</v>
      </c>
      <c r="BJ195" s="59">
        <f t="shared" si="146"/>
        <v>365.76175372075869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6.8369820238548744</v>
      </c>
      <c r="BQ195" s="21">
        <f>EXP(-LN(2)/25)*BQ194+(1-EXP(-LN(2)/25))/(LN(2)/25)*Calculateur!BL195*Calculateur!BN195*VLOOKUP('Données projet'!$B$11,Paramètres!$A$1:$I$89,3,0)*0.475*44/12</f>
        <v>0.44499404713230567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7.2819760709871799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345.45636360520137</v>
      </c>
      <c r="T196" s="59">
        <f t="shared" si="142"/>
        <v>469.30074822262549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15.80439315812596</v>
      </c>
      <c r="AA196" s="21">
        <f>EXP(-LN(2)/25)*AA195+(1-EXP(-LN(2)/25))/(LN(2)/25)*Calculateur!V196*Calculateur!X196*VLOOKUP('Données projet'!$B$9,Paramètres!$A$1:$I$89,3,0)*0.475*44/12</f>
        <v>0.88019056111163541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16.684583719237594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-4.1677594708744434E-14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254.00493808294931</v>
      </c>
      <c r="BJ196" s="59">
        <f t="shared" si="146"/>
        <v>365.76175372075869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6.7029129765143471</v>
      </c>
      <c r="BQ196" s="21">
        <f>EXP(-LN(2)/25)*BQ195+(1-EXP(-LN(2)/25))/(LN(2)/25)*Calculateur!BL196*Calculateur!BN196*VLOOKUP('Données projet'!$B$11,Paramètres!$A$1:$I$89,3,0)*0.475*44/12</f>
        <v>0.43282566151225288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7.1357386380266004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345.45636360520137</v>
      </c>
      <c r="T197" s="59">
        <f t="shared" ref="T197:T203" si="204">$T$3</f>
        <v>469.30074822262549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15.494478648023092</v>
      </c>
      <c r="AA197" s="21">
        <f>EXP(-LN(2)/25)*AA196+(1-EXP(-LN(2)/25))/(LN(2)/25)*Calculateur!V197*Calculateur!X197*VLOOKUP('Données projet'!$B$9,Paramètres!$A$1:$I$89,3,0)*0.475*44/12</f>
        <v>0.85612170393082787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16.350600351953918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-4.1677594708744434E-14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254.00493808294931</v>
      </c>
      <c r="BJ197" s="59">
        <f t="shared" ref="BJ197:BJ203" si="206">$BJ$3</f>
        <v>365.76175372075869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6.571472941418123</v>
      </c>
      <c r="BQ197" s="21">
        <f>EXP(-LN(2)/25)*BQ196+(1-EXP(-LN(2)/25))/(LN(2)/25)*Calculateur!BL197*Calculateur!BN197*VLOOKUP('Données projet'!$B$11,Paramètres!$A$1:$I$89,3,0)*0.475*44/12</f>
        <v>0.42099002103688804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6.9924629624550114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345.45636360520137</v>
      </c>
      <c r="T198" s="59">
        <f t="shared" si="204"/>
        <v>469.30074822262549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15.190641372434156</v>
      </c>
      <c r="AA198" s="21">
        <f>EXP(-LN(2)/25)*AA197+(1-EXP(-LN(2)/25))/(LN(2)/25)*Calculateur!V198*Calculateur!X198*VLOOKUP('Données projet'!$B$9,Paramètres!$A$1:$I$89,3,0)*0.475*44/12</f>
        <v>0.83271101091535571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16.023352383349511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-4.1677594708744434E-14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254.00493808294931</v>
      </c>
      <c r="BJ198" s="59">
        <f t="shared" si="206"/>
        <v>365.76175372075869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6.4426103652396307</v>
      </c>
      <c r="BQ198" s="21">
        <f>EXP(-LN(2)/25)*BQ197+(1-EXP(-LN(2)/25))/(LN(2)/25)*Calculateur!BL198*Calculateur!BN198*VLOOKUP('Données projet'!$B$11,Paramètres!$A$1:$I$89,3,0)*0.475*44/12</f>
        <v>0.40947802677273132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6.8520883920123623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345.45636360520137</v>
      </c>
      <c r="T199" s="59">
        <f t="shared" si="204"/>
        <v>469.30074822262549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14.89276216049708</v>
      </c>
      <c r="AA199" s="21">
        <f>EXP(-LN(2)/25)*AA198+(1-EXP(-LN(2)/25))/(LN(2)/25)*Calculateur!V199*Calculateur!X199*VLOOKUP('Données projet'!$B$9,Paramètres!$A$1:$I$89,3,0)*0.475*44/12</f>
        <v>0.80994048453150647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15.702702645028586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-4.1677594708744434E-14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254.00493808294931</v>
      </c>
      <c r="BJ199" s="59">
        <f t="shared" si="206"/>
        <v>365.76175372075869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6.3162747055815878</v>
      </c>
      <c r="BQ199" s="21">
        <f>EXP(-LN(2)/25)*BQ198+(1-EXP(-LN(2)/25))/(LN(2)/25)*Calculateur!BL199*Calculateur!BN199*VLOOKUP('Données projet'!$B$11,Paramètres!$A$1:$I$89,3,0)*0.475*44/12</f>
        <v>0.39828082859711744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6.7145555341787055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345.45636360520137</v>
      </c>
      <c r="T200" s="59">
        <f t="shared" si="204"/>
        <v>469.30074822262549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14.60072417821771</v>
      </c>
      <c r="AA200" s="21">
        <f>EXP(-LN(2)/25)*AA199+(1-EXP(-LN(2)/25))/(LN(2)/25)*Calculateur!V200*Calculateur!X200*VLOOKUP('Données projet'!$B$9,Paramètres!$A$1:$I$89,3,0)*0.475*44/12</f>
        <v>0.78779261938907352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15.388516797606783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-4.1677594708744434E-14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254.00493808294931</v>
      </c>
      <c r="BJ200" s="59">
        <f t="shared" si="206"/>
        <v>365.76175372075869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6.1924164111522959</v>
      </c>
      <c r="BQ200" s="21">
        <f>EXP(-LN(2)/25)*BQ199+(1-EXP(-LN(2)/25))/(LN(2)/25)*Calculateur!BL200*Calculateur!BN200*VLOOKUP('Données projet'!$B$11,Paramètres!$A$1:$I$89,3,0)*0.475*44/12</f>
        <v>0.38738981839445075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6.5798062295467465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345.45636360520137</v>
      </c>
      <c r="T201" s="59">
        <f t="shared" si="204"/>
        <v>469.30074822262549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14.314412882645259</v>
      </c>
      <c r="AA201" s="21">
        <f>EXP(-LN(2)/25)*AA200+(1-EXP(-LN(2)/25))/(LN(2)/25)*Calculateur!V201*Calculateur!X201*VLOOKUP('Données projet'!$B$9,Paramètres!$A$1:$I$89,3,0)*0.475*44/12</f>
        <v>0.76625038878366603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15.080663271428925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-4.1677594708744434E-14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254.00493808294931</v>
      </c>
      <c r="BJ201" s="59">
        <f t="shared" si="206"/>
        <v>365.76175372075869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6.0709869023306622</v>
      </c>
      <c r="BQ201" s="21">
        <f>EXP(-LN(2)/25)*BQ200+(1-EXP(-LN(2)/25))/(LN(2)/25)*Calculateur!BL201*Calculateur!BN201*VLOOKUP('Données projet'!$B$11,Paramètres!$A$1:$I$89,3,0)*0.475*44/12</f>
        <v>0.37679662343850934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6.4477835257691716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345.45636360520137</v>
      </c>
      <c r="T202" s="59">
        <f t="shared" si="204"/>
        <v>469.30074822262549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14.033715976946336</v>
      </c>
      <c r="AA202" s="21">
        <f>EXP(-LN(2)/25)*AA201+(1-EXP(-LN(2)/25))/(LN(2)/25)*Calculateur!V202*Calculateur!X202*VLOOKUP('Données projet'!$B$9,Paramètres!$A$1:$I$89,3,0)*0.475*44/12</f>
        <v>0.74529723160701999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14.779013208553357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-4.1677594708744434E-14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254.00493808294931</v>
      </c>
      <c r="BJ202" s="59">
        <f t="shared" si="206"/>
        <v>365.76175372075869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5.9519385521123338</v>
      </c>
      <c r="BQ202" s="21">
        <f>EXP(-LN(2)/25)*BQ201+(1-EXP(-LN(2)/25))/(LN(2)/25)*Calculateur!BL202*Calculateur!BN202*VLOOKUP('Données projet'!$B$11,Paramètres!$A$1:$I$89,3,0)*0.475*44/12</f>
        <v>0.36649309995571006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6.3184316520680435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345.45636360520137</v>
      </c>
      <c r="T203" s="59">
        <f t="shared" si="204"/>
        <v>469.30074822262549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13.758523366359961</v>
      </c>
      <c r="AA203" s="21">
        <f>EXP(-LN(2)/25)*AA202+(1-EXP(-LN(2)/25))/(LN(2)/25)*Calculateur!V203*Calculateur!X203*VLOOKUP('Données projet'!$B$9,Paramètres!$A$1:$I$89,3,0)*0.475*44/12</f>
        <v>0.724917039615248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14.483440405975209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-4.1677594708744434E-14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254.00493808294931</v>
      </c>
      <c r="BJ203" s="59">
        <f t="shared" si="206"/>
        <v>365.76175372075869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5.835224667429463</v>
      </c>
      <c r="BQ203" s="21">
        <f>EXP(-LN(2)/25)*BQ202+(1-EXP(-LN(2)/25))/(LN(2)/25)*Calculateur!BL203*Calculateur!BN203*VLOOKUP('Données projet'!$B$11,Paramètres!$A$1:$I$89,3,0)*0.475*44/12</f>
        <v>0.35647132686438665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6.1916959942938501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100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100</v>
      </c>
      <c r="BA204" s="81" t="s">
        <v>100</v>
      </c>
      <c r="BV204" s="81" t="s">
        <v>100</v>
      </c>
      <c r="CQ204" s="81" t="s">
        <v>100</v>
      </c>
      <c r="DL204" s="81" t="s">
        <v>100</v>
      </c>
      <c r="EG204" s="81" t="s">
        <v>100</v>
      </c>
      <c r="FB204" s="81" t="s">
        <v>100</v>
      </c>
      <c r="FW204" s="81" t="s">
        <v>100</v>
      </c>
      <c r="GR204" s="81" t="s">
        <v>100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1.3179806292130023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>
        <f>EXP(LN('Données projet'!B88)/'Données projet'!A88)</f>
        <v>1.3423796509621049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101</v>
      </c>
      <c r="B1" s="112" t="s">
        <v>102</v>
      </c>
      <c r="C1" s="113" t="s">
        <v>103</v>
      </c>
      <c r="D1" s="112" t="s">
        <v>104</v>
      </c>
      <c r="E1" s="113" t="s">
        <v>105</v>
      </c>
      <c r="F1" s="113" t="s">
        <v>104</v>
      </c>
      <c r="G1" s="113" t="s">
        <v>106</v>
      </c>
      <c r="H1" s="113" t="s">
        <v>104</v>
      </c>
      <c r="I1" s="114" t="s">
        <v>107</v>
      </c>
      <c r="J1" s="78"/>
      <c r="K1" s="78"/>
      <c r="L1" s="78"/>
      <c r="M1" s="78"/>
      <c r="N1" s="78"/>
    </row>
    <row r="2" spans="1:16" x14ac:dyDescent="0.3">
      <c r="A2" s="115" t="s">
        <v>108</v>
      </c>
      <c r="B2" s="116" t="s">
        <v>109</v>
      </c>
      <c r="C2" s="117">
        <v>0.62</v>
      </c>
      <c r="D2" s="117" t="s">
        <v>110</v>
      </c>
      <c r="E2" s="117">
        <v>1.56</v>
      </c>
      <c r="F2" s="117" t="s">
        <v>111</v>
      </c>
      <c r="G2" s="118">
        <v>0.43</v>
      </c>
      <c r="H2" s="119" t="s">
        <v>112</v>
      </c>
      <c r="I2" s="120">
        <v>0.25</v>
      </c>
      <c r="J2" s="78"/>
      <c r="K2" s="78"/>
      <c r="L2" s="78"/>
      <c r="M2" s="78"/>
      <c r="N2" s="78"/>
      <c r="O2" s="281" t="s">
        <v>113</v>
      </c>
      <c r="P2" s="121">
        <v>0</v>
      </c>
    </row>
    <row r="3" spans="1:16" ht="15" thickBot="1" x14ac:dyDescent="0.35">
      <c r="A3" s="122" t="s">
        <v>114</v>
      </c>
      <c r="B3" s="123" t="s">
        <v>115</v>
      </c>
      <c r="C3" s="124">
        <v>0.64</v>
      </c>
      <c r="D3" s="124" t="s">
        <v>110</v>
      </c>
      <c r="E3" s="124">
        <v>1.56</v>
      </c>
      <c r="F3" s="125" t="s">
        <v>111</v>
      </c>
      <c r="G3" s="126">
        <v>0.43</v>
      </c>
      <c r="H3" s="124" t="s">
        <v>112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116</v>
      </c>
      <c r="B4" s="123" t="s">
        <v>117</v>
      </c>
      <c r="C4" s="124">
        <v>0.42</v>
      </c>
      <c r="D4" s="124" t="s">
        <v>110</v>
      </c>
      <c r="E4" s="124">
        <v>1.56</v>
      </c>
      <c r="F4" s="125" t="s">
        <v>111</v>
      </c>
      <c r="G4" s="126">
        <v>0.43</v>
      </c>
      <c r="H4" s="124" t="s">
        <v>112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118</v>
      </c>
      <c r="B5" s="123" t="s">
        <v>119</v>
      </c>
      <c r="C5" s="124">
        <v>0.42</v>
      </c>
      <c r="D5" s="124" t="s">
        <v>110</v>
      </c>
      <c r="E5" s="124">
        <v>1.56</v>
      </c>
      <c r="F5" s="125" t="s">
        <v>111</v>
      </c>
      <c r="G5" s="126">
        <v>0.43</v>
      </c>
      <c r="H5" s="124" t="s">
        <v>112</v>
      </c>
      <c r="I5" s="127">
        <v>0.25</v>
      </c>
      <c r="J5" s="78"/>
      <c r="K5" s="78"/>
      <c r="L5" s="78"/>
      <c r="M5" s="78"/>
      <c r="N5" s="78"/>
      <c r="O5" s="281" t="s">
        <v>120</v>
      </c>
      <c r="P5" s="121">
        <v>0</v>
      </c>
    </row>
    <row r="6" spans="1:16" x14ac:dyDescent="0.3">
      <c r="A6" s="122" t="s">
        <v>121</v>
      </c>
      <c r="B6" s="123" t="s">
        <v>122</v>
      </c>
      <c r="C6" s="124">
        <v>0.42</v>
      </c>
      <c r="D6" s="124" t="s">
        <v>110</v>
      </c>
      <c r="E6" s="124">
        <v>1.56</v>
      </c>
      <c r="F6" s="125" t="s">
        <v>111</v>
      </c>
      <c r="G6" s="126">
        <v>0.43</v>
      </c>
      <c r="H6" s="124" t="s">
        <v>112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123</v>
      </c>
      <c r="B7" s="123" t="s">
        <v>124</v>
      </c>
      <c r="C7" s="124">
        <v>0.52</v>
      </c>
      <c r="D7" s="124" t="s">
        <v>110</v>
      </c>
      <c r="E7" s="124">
        <v>1.56</v>
      </c>
      <c r="F7" s="125" t="s">
        <v>111</v>
      </c>
      <c r="G7" s="126">
        <v>0.43</v>
      </c>
      <c r="H7" s="124" t="s">
        <v>112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125</v>
      </c>
      <c r="B8" s="123" t="s">
        <v>126</v>
      </c>
      <c r="C8" s="124">
        <v>0.36</v>
      </c>
      <c r="D8" s="124" t="s">
        <v>110</v>
      </c>
      <c r="E8" s="124">
        <v>1.3</v>
      </c>
      <c r="F8" s="125" t="s">
        <v>111</v>
      </c>
      <c r="G8" s="126">
        <v>0.55000000000000004</v>
      </c>
      <c r="H8" s="124" t="s">
        <v>127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128</v>
      </c>
      <c r="B9" s="123" t="s">
        <v>129</v>
      </c>
      <c r="C9" s="124">
        <v>0.61</v>
      </c>
      <c r="D9" s="124" t="s">
        <v>110</v>
      </c>
      <c r="E9" s="124">
        <v>1.56</v>
      </c>
      <c r="F9" s="125" t="s">
        <v>111</v>
      </c>
      <c r="G9" s="126">
        <v>0.43</v>
      </c>
      <c r="H9" s="124" t="s">
        <v>112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130</v>
      </c>
      <c r="B10" s="123" t="s">
        <v>131</v>
      </c>
      <c r="C10" s="124">
        <v>0.66</v>
      </c>
      <c r="D10" s="124" t="s">
        <v>110</v>
      </c>
      <c r="E10" s="124">
        <v>1.56</v>
      </c>
      <c r="F10" s="125" t="s">
        <v>111</v>
      </c>
      <c r="G10" s="126">
        <v>0.43</v>
      </c>
      <c r="H10" s="124" t="s">
        <v>112</v>
      </c>
      <c r="I10" s="127">
        <v>0.25</v>
      </c>
      <c r="J10" s="78"/>
      <c r="K10" s="78"/>
      <c r="L10" s="78"/>
      <c r="M10" s="78"/>
      <c r="N10" s="78"/>
      <c r="O10" s="281" t="s">
        <v>132</v>
      </c>
      <c r="P10" s="121">
        <v>0</v>
      </c>
    </row>
    <row r="11" spans="1:16" ht="15" thickBot="1" x14ac:dyDescent="0.35">
      <c r="A11" s="122" t="s">
        <v>19</v>
      </c>
      <c r="B11" s="123" t="s">
        <v>133</v>
      </c>
      <c r="C11" s="124">
        <v>0.47</v>
      </c>
      <c r="D11" s="124" t="s">
        <v>110</v>
      </c>
      <c r="E11" s="124">
        <v>1.56</v>
      </c>
      <c r="F11" s="125" t="s">
        <v>111</v>
      </c>
      <c r="G11" s="126">
        <v>0.43</v>
      </c>
      <c r="H11" s="124" t="s">
        <v>112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134</v>
      </c>
      <c r="B12" s="123" t="s">
        <v>135</v>
      </c>
      <c r="C12" s="124">
        <v>0.67</v>
      </c>
      <c r="D12" s="124" t="s">
        <v>110</v>
      </c>
      <c r="E12" s="124">
        <v>1.56</v>
      </c>
      <c r="F12" s="125" t="s">
        <v>111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137</v>
      </c>
      <c r="B13" s="123" t="s">
        <v>138</v>
      </c>
      <c r="C13" s="124">
        <v>0.7</v>
      </c>
      <c r="D13" s="124" t="s">
        <v>110</v>
      </c>
      <c r="E13" s="124">
        <v>1.56</v>
      </c>
      <c r="F13" s="125" t="s">
        <v>111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139</v>
      </c>
      <c r="B14" s="123" t="s">
        <v>140</v>
      </c>
      <c r="C14" s="124">
        <v>0.54</v>
      </c>
      <c r="D14" s="124" t="s">
        <v>110</v>
      </c>
      <c r="E14" s="124">
        <v>1.56</v>
      </c>
      <c r="F14" s="125" t="s">
        <v>111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141</v>
      </c>
      <c r="B15" s="123" t="s">
        <v>142</v>
      </c>
      <c r="C15" s="124">
        <v>0.65</v>
      </c>
      <c r="D15" s="124" t="s">
        <v>110</v>
      </c>
      <c r="E15" s="124">
        <v>1.56</v>
      </c>
      <c r="F15" s="125" t="s">
        <v>111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143</v>
      </c>
      <c r="B16" s="123" t="s">
        <v>144</v>
      </c>
      <c r="C16" s="124">
        <v>0.56000000000000005</v>
      </c>
      <c r="D16" s="124" t="s">
        <v>110</v>
      </c>
      <c r="E16" s="124">
        <v>1.56</v>
      </c>
      <c r="F16" s="125" t="s">
        <v>111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145</v>
      </c>
      <c r="B17" s="123" t="s">
        <v>146</v>
      </c>
      <c r="C17" s="124">
        <v>0.57999999999999996</v>
      </c>
      <c r="D17" s="124" t="s">
        <v>110</v>
      </c>
      <c r="E17" s="124">
        <v>1.56</v>
      </c>
      <c r="F17" s="125" t="s">
        <v>111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147</v>
      </c>
      <c r="B18" s="123" t="s">
        <v>148</v>
      </c>
      <c r="C18" s="124">
        <v>0.64</v>
      </c>
      <c r="D18" s="124" t="s">
        <v>110</v>
      </c>
      <c r="E18" s="124">
        <v>1.56</v>
      </c>
      <c r="F18" s="125" t="s">
        <v>111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149</v>
      </c>
      <c r="B19" s="123" t="s">
        <v>150</v>
      </c>
      <c r="C19" s="124">
        <v>0.73</v>
      </c>
      <c r="D19" s="124" t="s">
        <v>110</v>
      </c>
      <c r="E19" s="124">
        <v>1.56</v>
      </c>
      <c r="F19" s="125" t="s">
        <v>111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111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155</v>
      </c>
      <c r="B21" s="123" t="s">
        <v>156</v>
      </c>
      <c r="C21" s="124">
        <v>0.36</v>
      </c>
      <c r="D21" s="124" t="s">
        <v>110</v>
      </c>
      <c r="E21" s="124">
        <v>1.3</v>
      </c>
      <c r="F21" s="125" t="s">
        <v>111</v>
      </c>
      <c r="G21" s="126">
        <v>0.55000000000000004</v>
      </c>
      <c r="H21" s="124" t="s">
        <v>127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157</v>
      </c>
      <c r="B22" s="123" t="s">
        <v>158</v>
      </c>
      <c r="C22" s="124">
        <v>0.4</v>
      </c>
      <c r="D22" s="124" t="s">
        <v>110</v>
      </c>
      <c r="E22" s="124">
        <v>1.3</v>
      </c>
      <c r="F22" s="125" t="s">
        <v>111</v>
      </c>
      <c r="G22" s="126">
        <v>0.55000000000000004</v>
      </c>
      <c r="H22" s="124" t="s">
        <v>127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159</v>
      </c>
      <c r="B23" s="123" t="s">
        <v>160</v>
      </c>
      <c r="C23" s="124">
        <v>0.43</v>
      </c>
      <c r="D23" s="124" t="s">
        <v>110</v>
      </c>
      <c r="E23" s="124">
        <v>1.3</v>
      </c>
      <c r="F23" s="125" t="s">
        <v>111</v>
      </c>
      <c r="G23" s="126">
        <v>0.55000000000000004</v>
      </c>
      <c r="H23" s="124" t="s">
        <v>127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161</v>
      </c>
      <c r="B24" s="123" t="s">
        <v>162</v>
      </c>
      <c r="C24" s="124">
        <v>0.37</v>
      </c>
      <c r="D24" s="124" t="s">
        <v>110</v>
      </c>
      <c r="E24" s="124">
        <v>1.3</v>
      </c>
      <c r="F24" s="125" t="s">
        <v>111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</v>
      </c>
      <c r="B25" s="123" t="s">
        <v>163</v>
      </c>
      <c r="C25" s="124">
        <v>0.36</v>
      </c>
      <c r="D25" s="124" t="s">
        <v>110</v>
      </c>
      <c r="E25" s="124">
        <v>1.3</v>
      </c>
      <c r="F25" s="125" t="s">
        <v>111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164</v>
      </c>
      <c r="B26" s="123" t="s">
        <v>165</v>
      </c>
      <c r="C26" s="124">
        <v>0.56000000000000005</v>
      </c>
      <c r="D26" s="124" t="s">
        <v>110</v>
      </c>
      <c r="E26" s="124">
        <v>1.56</v>
      </c>
      <c r="F26" s="125" t="s">
        <v>111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167</v>
      </c>
      <c r="B27" s="123" t="s">
        <v>168</v>
      </c>
      <c r="C27" s="124">
        <v>0.51</v>
      </c>
      <c r="D27" s="124" t="s">
        <v>110</v>
      </c>
      <c r="E27" s="124">
        <v>1.56</v>
      </c>
      <c r="F27" s="125" t="s">
        <v>111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169</v>
      </c>
      <c r="B28" s="123" t="s">
        <v>170</v>
      </c>
      <c r="C28" s="124">
        <v>0.51</v>
      </c>
      <c r="D28" s="124" t="s">
        <v>110</v>
      </c>
      <c r="E28" s="124">
        <v>1.56</v>
      </c>
      <c r="F28" s="125" t="s">
        <v>111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171</v>
      </c>
      <c r="B29" s="123" t="s">
        <v>171</v>
      </c>
      <c r="C29" s="124">
        <v>0.56000000000000005</v>
      </c>
      <c r="D29" s="124" t="s">
        <v>110</v>
      </c>
      <c r="E29" s="124">
        <v>1.56</v>
      </c>
      <c r="F29" s="125" t="s">
        <v>111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172</v>
      </c>
      <c r="B30" s="123" t="s">
        <v>173</v>
      </c>
      <c r="C30" s="124">
        <v>0.55000000000000004</v>
      </c>
      <c r="D30" s="124" t="s">
        <v>110</v>
      </c>
      <c r="E30" s="124">
        <v>1.56</v>
      </c>
      <c r="F30" s="125" t="s">
        <v>111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174</v>
      </c>
      <c r="B31" s="123" t="s">
        <v>175</v>
      </c>
      <c r="C31" s="124">
        <v>0.56000000000000005</v>
      </c>
      <c r="D31" s="124" t="s">
        <v>110</v>
      </c>
      <c r="E31" s="124">
        <v>1.56</v>
      </c>
      <c r="F31" s="125" t="s">
        <v>111</v>
      </c>
      <c r="G31" s="126">
        <v>0.43</v>
      </c>
      <c r="H31" s="124" t="s">
        <v>112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176</v>
      </c>
      <c r="B32" s="123" t="s">
        <v>177</v>
      </c>
      <c r="C32" s="124">
        <v>0.48</v>
      </c>
      <c r="D32" s="124" t="s">
        <v>110</v>
      </c>
      <c r="E32" s="124">
        <v>1.3</v>
      </c>
      <c r="F32" s="125" t="s">
        <v>111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179</v>
      </c>
      <c r="B33" s="123" t="s">
        <v>180</v>
      </c>
      <c r="C33" s="124">
        <v>0.42</v>
      </c>
      <c r="D33" s="124" t="s">
        <v>110</v>
      </c>
      <c r="E33" s="124">
        <v>1.3</v>
      </c>
      <c r="F33" s="125" t="s">
        <v>111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111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185</v>
      </c>
      <c r="B35" s="123" t="s">
        <v>186</v>
      </c>
      <c r="C35" s="124">
        <v>0.5</v>
      </c>
      <c r="D35" s="124" t="s">
        <v>110</v>
      </c>
      <c r="E35" s="124">
        <v>1.56</v>
      </c>
      <c r="F35" s="125" t="s">
        <v>111</v>
      </c>
      <c r="G35" s="126">
        <v>0.43</v>
      </c>
      <c r="H35" s="124" t="s">
        <v>112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187</v>
      </c>
      <c r="B36" s="123" t="s">
        <v>188</v>
      </c>
      <c r="C36" s="124">
        <v>0.55000000000000004</v>
      </c>
      <c r="D36" s="124" t="s">
        <v>110</v>
      </c>
      <c r="E36" s="124">
        <v>1.56</v>
      </c>
      <c r="F36" s="125" t="s">
        <v>111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189</v>
      </c>
      <c r="B37" s="123" t="s">
        <v>190</v>
      </c>
      <c r="C37" s="124">
        <v>0.52</v>
      </c>
      <c r="D37" s="124" t="s">
        <v>110</v>
      </c>
      <c r="E37" s="124">
        <v>1.56</v>
      </c>
      <c r="F37" s="125" t="s">
        <v>111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191</v>
      </c>
      <c r="B38" s="123" t="s">
        <v>192</v>
      </c>
      <c r="C38" s="124">
        <v>0.52</v>
      </c>
      <c r="D38" s="124" t="s">
        <v>110</v>
      </c>
      <c r="E38" s="124">
        <v>1.56</v>
      </c>
      <c r="F38" s="125" t="s">
        <v>111</v>
      </c>
      <c r="G38" s="126">
        <v>0.43</v>
      </c>
      <c r="H38" s="124" t="s">
        <v>112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111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111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111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111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111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111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111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111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111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111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111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111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111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111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111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111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111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111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111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111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111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111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111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219</v>
      </c>
      <c r="B62" s="123" t="s">
        <v>220</v>
      </c>
      <c r="C62" s="124">
        <v>0.37</v>
      </c>
      <c r="D62" s="124" t="s">
        <v>110</v>
      </c>
      <c r="E62" s="124">
        <v>1.56</v>
      </c>
      <c r="F62" s="125" t="s">
        <v>111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221</v>
      </c>
      <c r="B63" s="123" t="s">
        <v>222</v>
      </c>
      <c r="C63" s="124">
        <v>0.45</v>
      </c>
      <c r="D63" s="124" t="s">
        <v>110</v>
      </c>
      <c r="E63" s="124">
        <v>1.3</v>
      </c>
      <c r="F63" s="125" t="s">
        <v>111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224</v>
      </c>
      <c r="B64" s="123" t="s">
        <v>225</v>
      </c>
      <c r="C64" s="124">
        <v>0.39</v>
      </c>
      <c r="D64" s="124" t="s">
        <v>110</v>
      </c>
      <c r="E64" s="124">
        <v>1.3</v>
      </c>
      <c r="F64" s="125" t="s">
        <v>111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226</v>
      </c>
      <c r="B65" s="123" t="s">
        <v>227</v>
      </c>
      <c r="C65" s="124">
        <v>0.44</v>
      </c>
      <c r="D65" s="124" t="s">
        <v>110</v>
      </c>
      <c r="E65" s="124">
        <v>1.3</v>
      </c>
      <c r="F65" s="125" t="s">
        <v>111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228</v>
      </c>
      <c r="B66" s="123" t="s">
        <v>229</v>
      </c>
      <c r="C66" s="124">
        <v>0.46</v>
      </c>
      <c r="D66" s="124" t="s">
        <v>110</v>
      </c>
      <c r="E66" s="124">
        <v>1.3</v>
      </c>
      <c r="F66" s="125" t="s">
        <v>111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230</v>
      </c>
      <c r="B67" s="123" t="s">
        <v>231</v>
      </c>
      <c r="C67" s="124">
        <v>0.46</v>
      </c>
      <c r="D67" s="124" t="s">
        <v>110</v>
      </c>
      <c r="E67" s="124">
        <v>1.3</v>
      </c>
      <c r="F67" s="125" t="s">
        <v>111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232</v>
      </c>
      <c r="B68" s="123" t="s">
        <v>233</v>
      </c>
      <c r="C68" s="124">
        <v>0.44</v>
      </c>
      <c r="D68" s="124" t="s">
        <v>110</v>
      </c>
      <c r="E68" s="124">
        <v>1.3</v>
      </c>
      <c r="F68" s="125" t="s">
        <v>111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234</v>
      </c>
      <c r="B69" s="123" t="s">
        <v>235</v>
      </c>
      <c r="C69" s="124">
        <v>0.46</v>
      </c>
      <c r="D69" s="124" t="s">
        <v>110</v>
      </c>
      <c r="E69" s="124">
        <v>1.3</v>
      </c>
      <c r="F69" s="125" t="s">
        <v>111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236</v>
      </c>
      <c r="B70" s="123" t="s">
        <v>237</v>
      </c>
      <c r="C70" s="124">
        <v>0.48</v>
      </c>
      <c r="D70" s="124" t="s">
        <v>110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111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242</v>
      </c>
      <c r="B72" s="123" t="s">
        <v>243</v>
      </c>
      <c r="C72" s="124">
        <v>0.44</v>
      </c>
      <c r="D72" s="124" t="s">
        <v>110</v>
      </c>
      <c r="E72" s="124">
        <v>1.3</v>
      </c>
      <c r="F72" s="125" t="s">
        <v>111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111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247</v>
      </c>
      <c r="B74" s="123" t="s">
        <v>248</v>
      </c>
      <c r="C74" s="124">
        <v>0.34</v>
      </c>
      <c r="D74" s="124" t="s">
        <v>110</v>
      </c>
      <c r="E74" s="124">
        <v>1.3</v>
      </c>
      <c r="F74" s="125" t="s">
        <v>111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249</v>
      </c>
      <c r="B75" s="123" t="s">
        <v>250</v>
      </c>
      <c r="C75" s="124">
        <v>0.5</v>
      </c>
      <c r="D75" s="124" t="s">
        <v>110</v>
      </c>
      <c r="E75" s="124">
        <v>1.56</v>
      </c>
      <c r="F75" s="125" t="s">
        <v>111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251</v>
      </c>
      <c r="B76" s="123" t="s">
        <v>252</v>
      </c>
      <c r="C76" s="124">
        <v>0.57999999999999996</v>
      </c>
      <c r="D76" s="124" t="s">
        <v>110</v>
      </c>
      <c r="E76" s="124">
        <v>1.56</v>
      </c>
      <c r="F76" s="125" t="s">
        <v>111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254</v>
      </c>
      <c r="B77" s="123" t="s">
        <v>255</v>
      </c>
      <c r="C77" s="124">
        <v>0.37</v>
      </c>
      <c r="D77" s="124" t="s">
        <v>110</v>
      </c>
      <c r="E77" s="124">
        <v>1.3</v>
      </c>
      <c r="F77" s="125" t="s">
        <v>111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256</v>
      </c>
      <c r="B78" s="123" t="s">
        <v>257</v>
      </c>
      <c r="C78" s="124">
        <v>0.37</v>
      </c>
      <c r="D78" s="124" t="s">
        <v>110</v>
      </c>
      <c r="E78" s="124">
        <v>1.3</v>
      </c>
      <c r="F78" s="125" t="s">
        <v>111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258</v>
      </c>
      <c r="B79" s="123" t="s">
        <v>259</v>
      </c>
      <c r="C79" s="124">
        <v>0.38</v>
      </c>
      <c r="D79" s="124" t="s">
        <v>110</v>
      </c>
      <c r="E79" s="124">
        <v>1.3</v>
      </c>
      <c r="F79" s="125" t="s">
        <v>111</v>
      </c>
      <c r="G79" s="126">
        <v>0.55000000000000004</v>
      </c>
      <c r="H79" s="124" t="s">
        <v>127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260</v>
      </c>
      <c r="B80" s="123" t="s">
        <v>261</v>
      </c>
      <c r="C80" s="124">
        <v>0.36</v>
      </c>
      <c r="D80" s="124" t="s">
        <v>110</v>
      </c>
      <c r="E80" s="124">
        <v>1.3</v>
      </c>
      <c r="F80" s="125" t="s">
        <v>111</v>
      </c>
      <c r="G80" s="126">
        <v>0.55000000000000004</v>
      </c>
      <c r="H80" s="124" t="s">
        <v>127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262</v>
      </c>
      <c r="B81" s="123" t="s">
        <v>263</v>
      </c>
      <c r="C81" s="124">
        <v>0.37</v>
      </c>
      <c r="D81" s="124" t="s">
        <v>110</v>
      </c>
      <c r="E81" s="124">
        <v>1.56</v>
      </c>
      <c r="F81" s="125" t="s">
        <v>111</v>
      </c>
      <c r="G81" s="126">
        <v>0.43</v>
      </c>
      <c r="H81" s="124" t="s">
        <v>112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111</v>
      </c>
      <c r="G82" s="126">
        <v>0.55000000000000004</v>
      </c>
      <c r="H82" s="124" t="s">
        <v>127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267</v>
      </c>
      <c r="B83" s="123" t="s">
        <v>268</v>
      </c>
      <c r="C83" s="124">
        <v>0.34</v>
      </c>
      <c r="D83" s="124" t="s">
        <v>110</v>
      </c>
      <c r="E83" s="124">
        <v>1.3</v>
      </c>
      <c r="F83" s="125" t="s">
        <v>111</v>
      </c>
      <c r="G83" s="126">
        <v>0.55000000000000004</v>
      </c>
      <c r="H83" s="124" t="s">
        <v>127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269</v>
      </c>
      <c r="B84" s="123" t="s">
        <v>270</v>
      </c>
      <c r="C84" s="124">
        <v>0.31</v>
      </c>
      <c r="D84" s="124" t="s">
        <v>110</v>
      </c>
      <c r="E84" s="124">
        <v>1.3</v>
      </c>
      <c r="F84" s="125" t="s">
        <v>111</v>
      </c>
      <c r="G84" s="126">
        <v>0.55000000000000004</v>
      </c>
      <c r="H84" s="124" t="s">
        <v>127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271</v>
      </c>
      <c r="B85" s="123" t="s">
        <v>272</v>
      </c>
      <c r="C85" s="124">
        <v>0.43</v>
      </c>
      <c r="D85" s="124" t="s">
        <v>110</v>
      </c>
      <c r="E85" s="124">
        <v>1.56</v>
      </c>
      <c r="F85" s="125" t="s">
        <v>111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273</v>
      </c>
      <c r="B86" s="123" t="s">
        <v>274</v>
      </c>
      <c r="C86" s="124">
        <v>0.38</v>
      </c>
      <c r="D86" s="124" t="s">
        <v>110</v>
      </c>
      <c r="E86" s="124">
        <v>1.56</v>
      </c>
      <c r="F86" s="125" t="s">
        <v>111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111</v>
      </c>
      <c r="G87" s="255">
        <v>0.43</v>
      </c>
      <c r="H87" s="253" t="s">
        <v>112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70</v>
      </c>
      <c r="B88" s="130"/>
      <c r="C88" s="124">
        <v>0.42</v>
      </c>
      <c r="D88" s="124" t="s">
        <v>110</v>
      </c>
      <c r="E88" s="124">
        <v>1.3</v>
      </c>
      <c r="F88" s="125" t="s">
        <v>111</v>
      </c>
      <c r="G88" s="131"/>
      <c r="H88" s="130"/>
      <c r="I88" s="132"/>
    </row>
    <row r="89" spans="1:14" ht="15" thickBot="1" x14ac:dyDescent="0.35">
      <c r="A89" s="133" t="s">
        <v>279</v>
      </c>
      <c r="B89" s="134"/>
      <c r="C89" s="135">
        <v>0.56999999999999995</v>
      </c>
      <c r="D89" s="136" t="s">
        <v>110</v>
      </c>
      <c r="E89" s="135">
        <v>1.56</v>
      </c>
      <c r="F89" s="135" t="s">
        <v>111</v>
      </c>
      <c r="G89" s="134"/>
      <c r="H89" s="134"/>
      <c r="I89" s="137"/>
    </row>
    <row r="93" spans="1:14" x14ac:dyDescent="0.3">
      <c r="A93" s="122" t="s">
        <v>71</v>
      </c>
    </row>
    <row r="94" spans="1:14" x14ac:dyDescent="0.3">
      <c r="A94" s="122" t="s">
        <v>72</v>
      </c>
    </row>
    <row r="95" spans="1:14" x14ac:dyDescent="0.3">
      <c r="A95" s="122" t="s">
        <v>73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zoomScale="80" zoomScaleNormal="8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Epicéa de Sitka</v>
      </c>
      <c r="B6" s="146">
        <f>'Données projet'!D9</f>
        <v>5.4809999999999999</v>
      </c>
      <c r="C6" s="147">
        <f ca="1">IF(OR('Données projet'!B9="",'Données projet'!C9="",'Données projet'!C9=0%),0,Calculateur!S3)</f>
        <v>345.45636360520137</v>
      </c>
      <c r="D6" s="147">
        <f>IF(OR('Données projet'!B9="",'Données projet'!C9="",'Données projet'!C9=0%),0,Calculateur!T3)</f>
        <v>469.30074822262549</v>
      </c>
      <c r="E6" s="147">
        <f ca="1">MIN(C6,D6)</f>
        <v>345.45636360520137</v>
      </c>
      <c r="F6" s="147">
        <f ca="1">E6*B6</f>
        <v>1893.4463289201087</v>
      </c>
      <c r="G6" s="147">
        <f ca="1">F6*(100%-'Données projet'!$C$24)*(100%-'Données projet'!$C$25)*(100%-'Données projet'!$C$26)*(100%-'Données projet'!$C$27)</f>
        <v>1618.8966112266928</v>
      </c>
      <c r="H6" s="148">
        <f>IF(OR('Données projet'!B9="",'Données projet'!C9="",'Données projet'!C9=0%),0,AVERAGE(Calculateur!$AC$3:$AC$33)*B6)</f>
        <v>26.750492478111642</v>
      </c>
      <c r="I6" s="149">
        <f>H6*(100%-'Données projet'!$C$24)*(100%-'Données projet'!$C$25)*(100%-'Données projet'!$C$26)*(100%-'Données projet'!$C$27)</f>
        <v>22.871671068785453</v>
      </c>
      <c r="J6" s="150">
        <f>IF(OR('Données projet'!B9="",'Données projet'!C9="",'Données projet'!C9=0%),0,SUM(Calculateur!$V$3:$V$33)*VLOOKUP('Données projet'!$B$9,Paramètres!$A$1:$I$89,9,0)*B6)</f>
        <v>525.57308999999998</v>
      </c>
      <c r="K6" s="151">
        <f>J6*(100%-'Données projet'!$C$24)*(100%-'Données projet'!$C$25)*(100%-'Données projet'!$C$26)*(100%-'Données projet'!$C$27)</f>
        <v>449.36499194999999</v>
      </c>
      <c r="L6" s="152">
        <f ca="1">G6+I6+K6</f>
        <v>2091.1332742454783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Châtaignier</v>
      </c>
      <c r="B8" s="154">
        <f>'Données projet'!D11</f>
        <v>0.60899999999999999</v>
      </c>
      <c r="C8" s="147">
        <f ca="1">IF(OR('Données projet'!B11="",'Données projet'!C11="",'Données projet'!C11=0%),0,Calculateur!BI3)</f>
        <v>254.00493808294931</v>
      </c>
      <c r="D8" s="147">
        <f>IF(OR('Données projet'!B11="",'Données projet'!C11="",'Données projet'!C11=0%),0,Calculateur!BJ3)</f>
        <v>365.76175372075869</v>
      </c>
      <c r="E8" s="147">
        <f t="shared" ca="1" si="0"/>
        <v>254.00493808294931</v>
      </c>
      <c r="F8" s="147">
        <f t="shared" ca="1" si="1"/>
        <v>154.68900729251612</v>
      </c>
      <c r="G8" s="147">
        <f ca="1">F8*(100%-'Données projet'!$C$24)*(100%-'Données projet'!$C$25)*(100%-'Données projet'!$C$26)*(100%-'Données projet'!$C$27)</f>
        <v>132.2591012351013</v>
      </c>
      <c r="H8" s="155">
        <f>IF(OR('Données projet'!B11="",'Données projet'!C11="",'Données projet'!C11=0%),0,AVERAGE(Calculateur!$BS$3:$BS$33)*B8)</f>
        <v>0.22914983048257465</v>
      </c>
      <c r="I8" s="149">
        <f>H8*(100%-'Données projet'!$C$24)*(100%-'Données projet'!$C$25)*(100%-'Données projet'!$C$26)*(100%-'Données projet'!$C$27)</f>
        <v>0.19592310506260133</v>
      </c>
      <c r="J8" s="150">
        <f>IF(OR('Données projet'!B11="",'Données projet'!C11="",'Données projet'!C11=0%),0,SUM(Calculateur!$BL$3:$BL$33)*VLOOKUP('Données projet'!$B$11,Paramètres!$A$1:$I$89,9,0)*B8)</f>
        <v>26.643750000000001</v>
      </c>
      <c r="K8" s="151">
        <f>J8*(100%-'Données projet'!$C$24)*(100%-'Données projet'!$C$25)*(100%-'Données projet'!$C$26)*(100%-'Données projet'!$C$27)</f>
        <v>22.780406249999999</v>
      </c>
      <c r="L8" s="152">
        <f t="shared" ca="1" si="2"/>
        <v>155.2354305901639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2048.1353362126247</v>
      </c>
      <c r="G16" s="166">
        <f t="shared" ca="1" si="3"/>
        <v>1751.1557124617941</v>
      </c>
      <c r="H16" s="167">
        <f t="shared" si="3"/>
        <v>26.979642308594215</v>
      </c>
      <c r="I16" s="167">
        <f t="shared" si="3"/>
        <v>23.067594173848054</v>
      </c>
      <c r="J16" s="168">
        <f t="shared" si="3"/>
        <v>552.21683999999993</v>
      </c>
      <c r="K16" s="168">
        <f t="shared" si="3"/>
        <v>472.14539819999999</v>
      </c>
      <c r="L16" s="169">
        <f t="shared" ca="1" si="3"/>
        <v>2246.3687048356423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291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Epicéa de Sitka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7" zoomScale="80" zoomScaleNormal="5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293</v>
      </c>
      <c r="I4" s="258"/>
      <c r="K4" s="300" t="s">
        <v>294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56</v>
      </c>
      <c r="O7" s="247"/>
      <c r="P7" s="248"/>
      <c r="Q7" s="249"/>
      <c r="R7" s="292" t="s">
        <v>295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Epicéa de Sitka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8113.4534402688241</v>
      </c>
      <c r="U10" s="178">
        <f>'Données projet'!D9</f>
        <v>5.4809999999999999</v>
      </c>
      <c r="V10" s="177">
        <f>U10*T10</f>
        <v>44469.838306113423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Châtaignier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2803.8891496092433</v>
      </c>
      <c r="U12" s="178">
        <f>'Données projet'!D11</f>
        <v>0.60899999999999999</v>
      </c>
      <c r="V12" s="177">
        <f t="shared" ref="V12:V19" si="1">U12*T12</f>
        <v>1707.5684921120292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15</v>
      </c>
      <c r="B14" s="174" t="str">
        <f>IF('Données projet'!$B$9="","",'Données projet'!$B$9)</f>
        <v>Epicéa de Sitka</v>
      </c>
      <c r="C14" s="4"/>
      <c r="D14" s="4"/>
      <c r="E14" s="4"/>
      <c r="F14" s="230"/>
      <c r="G14" s="23"/>
      <c r="H14" s="36" t="s">
        <v>75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46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03"/>
      <c r="H16" s="190"/>
      <c r="I16" s="191"/>
      <c r="J16" s="202"/>
      <c r="K16" s="208"/>
      <c r="L16" s="300" t="s">
        <v>312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194</v>
      </c>
      <c r="C17" s="198" t="s">
        <v>194</v>
      </c>
      <c r="D17" s="197" t="s">
        <v>194</v>
      </c>
      <c r="E17" s="193"/>
      <c r="F17" s="230"/>
      <c r="G17" s="303"/>
      <c r="J17" s="202"/>
      <c r="K17" s="208"/>
      <c r="L17" s="260" t="s">
        <v>313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F18" s="230"/>
      <c r="G18" s="303"/>
      <c r="J18" s="202"/>
      <c r="K18" s="208"/>
      <c r="L18" s="260" t="s">
        <v>309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303"/>
      <c r="H19" s="212" t="s">
        <v>75</v>
      </c>
      <c r="I19" s="212" t="s">
        <v>314</v>
      </c>
      <c r="J19" s="93"/>
      <c r="K19" s="173"/>
      <c r="L19" s="300" t="s">
        <v>315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303"/>
      <c r="H20" s="190">
        <v>1</v>
      </c>
      <c r="I20" s="191">
        <v>3447.95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>
        <v>2</v>
      </c>
      <c r="I21" s="191">
        <v>424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>
        <v>3</v>
      </c>
      <c r="I22" s="191">
        <v>457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18</v>
      </c>
      <c r="B23" s="181">
        <f>'Données projet'!D36</f>
        <v>48</v>
      </c>
      <c r="C23" s="193">
        <v>15</v>
      </c>
      <c r="D23" s="182">
        <f>B23*C23</f>
        <v>720</v>
      </c>
      <c r="E23" s="193">
        <v>60</v>
      </c>
      <c r="F23" s="230"/>
      <c r="H23" s="190">
        <v>4</v>
      </c>
      <c r="I23" s="191">
        <v>400</v>
      </c>
      <c r="K23" s="208"/>
      <c r="L23" s="302" t="s">
        <v>316</v>
      </c>
      <c r="M23" s="302"/>
      <c r="N23" s="302"/>
      <c r="O23" s="23"/>
      <c r="P23" s="23"/>
      <c r="Q23" s="234"/>
      <c r="R23" s="23"/>
      <c r="S23" s="36" t="s">
        <v>317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17282.697260584151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21</v>
      </c>
      <c r="B24" s="181">
        <f>'Données projet'!D37</f>
        <v>45</v>
      </c>
      <c r="C24" s="193">
        <v>15</v>
      </c>
      <c r="D24" s="182">
        <f t="shared" ref="D24:D42" si="2">B24*C24</f>
        <v>675</v>
      </c>
      <c r="E24" s="193">
        <v>60</v>
      </c>
      <c r="F24" s="233"/>
      <c r="H24" s="190">
        <v>5</v>
      </c>
      <c r="I24" s="191">
        <v>400</v>
      </c>
      <c r="K24" s="208"/>
      <c r="O24" s="23"/>
      <c r="P24" s="23"/>
      <c r="Q24" s="234"/>
      <c r="R24" s="23"/>
      <c r="S24" s="36" t="s">
        <v>318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18648.836524296432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50</v>
      </c>
      <c r="C25" s="193">
        <v>15</v>
      </c>
      <c r="D25" s="182">
        <f t="shared" si="2"/>
        <v>750</v>
      </c>
      <c r="E25" s="193">
        <v>60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>
        <v>150</v>
      </c>
      <c r="Q25" s="234"/>
      <c r="R25" s="23"/>
      <c r="S25" s="186" t="s">
        <v>320</v>
      </c>
      <c r="T25" s="299">
        <f ca="1">T23-T24</f>
        <v>-1366.1392637122808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28</v>
      </c>
      <c r="B26" s="181">
        <f>'Données projet'!D39</f>
        <v>80</v>
      </c>
      <c r="C26" s="193">
        <v>15</v>
      </c>
      <c r="D26" s="182">
        <f t="shared" si="2"/>
        <v>1200</v>
      </c>
      <c r="E26" s="193">
        <v>60</v>
      </c>
      <c r="F26" s="233"/>
      <c r="G26" s="229"/>
      <c r="H26" s="190"/>
      <c r="I26" s="191"/>
      <c r="K26" s="208"/>
      <c r="L26" s="286" t="s">
        <v>321</v>
      </c>
      <c r="M26" s="287"/>
      <c r="N26" s="287"/>
      <c r="O26" s="287"/>
      <c r="P26" s="288"/>
      <c r="Q26" s="234"/>
      <c r="R26" s="23"/>
      <c r="S26" s="186" t="s">
        <v>322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32</v>
      </c>
      <c r="B27" s="181">
        <f>'Données projet'!D40</f>
        <v>56</v>
      </c>
      <c r="C27" s="193">
        <v>15</v>
      </c>
      <c r="D27" s="182">
        <f t="shared" si="2"/>
        <v>840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323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36</v>
      </c>
      <c r="B28" s="181">
        <f>'Données projet'!D41</f>
        <v>78</v>
      </c>
      <c r="C28" s="193">
        <v>15</v>
      </c>
      <c r="D28" s="182">
        <f t="shared" si="2"/>
        <v>1170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42</v>
      </c>
      <c r="B29" s="181">
        <f>'Données projet'!D42</f>
        <v>79</v>
      </c>
      <c r="C29" s="193">
        <v>56</v>
      </c>
      <c r="D29" s="182">
        <f t="shared" si="2"/>
        <v>4424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47</v>
      </c>
      <c r="B30" s="181">
        <f>'Données projet'!D43</f>
        <v>834</v>
      </c>
      <c r="C30" s="193">
        <v>56</v>
      </c>
      <c r="D30" s="182">
        <f t="shared" si="2"/>
        <v>46704</v>
      </c>
      <c r="E30" s="193">
        <v>60</v>
      </c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3062.2063258286425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75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18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46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194</v>
      </c>
      <c r="C48" s="198" t="s">
        <v>194</v>
      </c>
      <c r="D48" s="197" t="s">
        <v>194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projet'!A65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projet'!A66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projet'!A67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projet'!A68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projet'!A69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projet'!A70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projet'!A71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projet'!A72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projet'!A73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projet'!A74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projet'!A75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 t="e">
        <f>'Données projet'!#REF!</f>
        <v>#REF!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20</v>
      </c>
      <c r="B76" s="174" t="str">
        <f>IF('Données projet'!B11="","",'Données projet'!B11)</f>
        <v>Châtaignier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46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19.803497527908451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18.950715337711436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str">
        <f>IF(O80+1&lt;=MIN('Données projet'!$E$9:$E$18),O80+1,"STOP")</f>
        <v>STOP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7</v>
      </c>
      <c r="C85" s="191">
        <v>5</v>
      </c>
      <c r="D85" s="179">
        <f>B85*C85</f>
        <v>35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42</v>
      </c>
      <c r="C86" s="191">
        <v>5</v>
      </c>
      <c r="D86" s="179">
        <f t="shared" ref="D86:D104" si="6">B86*C86</f>
        <v>210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42</v>
      </c>
      <c r="C87" s="191">
        <v>5</v>
      </c>
      <c r="D87" s="179">
        <f t="shared" si="6"/>
        <v>210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25</v>
      </c>
      <c r="B88" s="181">
        <f>'Données projet'!D91</f>
        <v>42</v>
      </c>
      <c r="C88" s="191">
        <v>5</v>
      </c>
      <c r="D88" s="179">
        <f t="shared" si="6"/>
        <v>210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30</v>
      </c>
      <c r="B89" s="181">
        <f>'Données projet'!D92</f>
        <v>42</v>
      </c>
      <c r="C89" s="191">
        <v>10</v>
      </c>
      <c r="D89" s="179">
        <f t="shared" si="6"/>
        <v>420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35</v>
      </c>
      <c r="B90" s="181">
        <f>'Données projet'!D93</f>
        <v>42</v>
      </c>
      <c r="C90" s="191">
        <v>10</v>
      </c>
      <c r="D90" s="179">
        <f t="shared" si="6"/>
        <v>420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40</v>
      </c>
      <c r="C91" s="191">
        <v>10</v>
      </c>
      <c r="D91" s="179">
        <f t="shared" si="6"/>
        <v>400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45</v>
      </c>
      <c r="B92" s="181">
        <f>'Données projet'!D95</f>
        <v>26</v>
      </c>
      <c r="C92" s="191">
        <v>65</v>
      </c>
      <c r="D92" s="179">
        <f t="shared" si="6"/>
        <v>1690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50</v>
      </c>
      <c r="B93" s="181">
        <f>'Données projet'!D96</f>
        <v>303</v>
      </c>
      <c r="C93" s="191">
        <v>65</v>
      </c>
      <c r="D93" s="179">
        <f t="shared" si="6"/>
        <v>19695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46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46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46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46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46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46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46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1" ma:contentTypeDescription="Create a new document." ma:contentTypeScope="" ma:versionID="022a9450084400d9c4b6f76b6a7c35c7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c54c81e0e85343df94ac73a5cdaa6080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AC6A30-5F20-451E-A4BD-3D45F7638B01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9F03B2-B371-49DF-8E50-2D8865479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Anna CROS</cp:lastModifiedBy>
  <cp:revision/>
  <dcterms:created xsi:type="dcterms:W3CDTF">2021-02-01T08:22:39Z</dcterms:created>
  <dcterms:modified xsi:type="dcterms:W3CDTF">2023-03-16T11:24:05Z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1953200</vt:r8>
  </property>
  <property fmtid="{D5CDD505-2E9C-101B-9397-08002B2CF9AE}" pid="4" name="MediaServiceImageTags">
    <vt:lpwstr/>
  </property>
</Properties>
</file>