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LBC/Dossiers LBC/DE LAVERGNEE 25 - 30 - 33/DE LA SELLE - 8800930/"/>
    </mc:Choice>
  </mc:AlternateContent>
  <xr:revisionPtr revIDLastSave="37" documentId="8_{71C5EA97-27AD-4144-B355-15C8B67BEC2B}" xr6:coauthVersionLast="47" xr6:coauthVersionMax="47" xr10:uidLastSave="{1E6FA53A-19A4-446B-B830-ED4E71CD4FC3}"/>
  <bookViews>
    <workbookView xWindow="-110" yWindow="-110" windowWidth="19420" windowHeight="1030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VAN" sheetId="6" r:id="rId6"/>
    <sheet name="REE" sheetId="4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Q4" i="2"/>
  <c r="GL4" i="2"/>
  <c r="BR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HG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H145" i="2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FS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I163" i="2"/>
  <c r="DH164" i="2"/>
  <c r="EX164" i="2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H202" i="2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30" i="2" l="1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84" i="2" a="1"/>
  <c r="BC84" i="2" s="1"/>
  <c r="BC114" i="2" a="1"/>
  <c r="BC114" i="2" s="1"/>
  <c r="BC32" i="2" a="1"/>
  <c r="BC32" i="2" s="1"/>
  <c r="BC126" i="2" a="1"/>
  <c r="BC12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178" i="2" l="1"/>
  <c r="CY149" i="2"/>
  <c r="CY179" i="2"/>
  <c r="CY181" i="2"/>
  <c r="CY85" i="2"/>
  <c r="CY10" i="2"/>
  <c r="CY57" i="2"/>
  <c r="CY35" i="2"/>
  <c r="CY191" i="2"/>
  <c r="CY63" i="2"/>
  <c r="CY186" i="2"/>
  <c r="CY117" i="2"/>
  <c r="CY114" i="2"/>
  <c r="CY65" i="2"/>
  <c r="CY71" i="2"/>
  <c r="CY160" i="2"/>
  <c r="CY32" i="2"/>
  <c r="CY107" i="2"/>
  <c r="CY102" i="2"/>
  <c r="CY66" i="2"/>
  <c r="CY180" i="2"/>
  <c r="CY200" i="2"/>
  <c r="CY123" i="2"/>
  <c r="CY192" i="2"/>
  <c r="CY143" i="2"/>
  <c r="CY51" i="2"/>
  <c r="CY182" i="2"/>
  <c r="CY98" i="2"/>
  <c r="CY18" i="2"/>
  <c r="CY173" i="2"/>
  <c r="CY176" i="2"/>
  <c r="CY175" i="2"/>
  <c r="CY162" i="2"/>
  <c r="CY148" i="2"/>
  <c r="CY14" i="2"/>
  <c r="CY203" i="2"/>
  <c r="CY92" i="2"/>
  <c r="CY145" i="2"/>
  <c r="CY169" i="2"/>
  <c r="CY38" i="2"/>
  <c r="CY195" i="2"/>
  <c r="CY41" i="2"/>
  <c r="CY168" i="2"/>
  <c r="CY103" i="2"/>
  <c r="CY86" i="2"/>
  <c r="CY72" i="2"/>
  <c r="CY193" i="2"/>
  <c r="CY151" i="2"/>
  <c r="CY190" i="2"/>
  <c r="CY9" i="2"/>
  <c r="CY142" i="2"/>
  <c r="CY80" i="2"/>
  <c r="CY36" i="2"/>
  <c r="CY96" i="2"/>
  <c r="CY164" i="2"/>
  <c r="CY187" i="2"/>
  <c r="CY111" i="2"/>
  <c r="CY127" i="2"/>
  <c r="CY120" i="2"/>
  <c r="CY56" i="2"/>
  <c r="CY201" i="2"/>
  <c r="CY116" i="2"/>
  <c r="CY158" i="2"/>
  <c r="CY113" i="2"/>
  <c r="CY194" i="2"/>
  <c r="CY198" i="2"/>
  <c r="CY24" i="2"/>
  <c r="CY118" i="2"/>
  <c r="CY13" i="2"/>
  <c r="CY15" i="2"/>
  <c r="CY137" i="2"/>
  <c r="CY135" i="2"/>
  <c r="CY81" i="2"/>
  <c r="CY12" i="2"/>
  <c r="CY47" i="2"/>
  <c r="CY166" i="2"/>
  <c r="CY44" i="2"/>
  <c r="CY140" i="2"/>
  <c r="CY124" i="2"/>
  <c r="CY101" i="2"/>
  <c r="CY141" i="2"/>
  <c r="CY95" i="2"/>
  <c r="CY49" i="2"/>
  <c r="CY188" i="2"/>
  <c r="CY110" i="2"/>
  <c r="CY136" i="2"/>
  <c r="CY78" i="2"/>
  <c r="CY155" i="2"/>
  <c r="CY88" i="2"/>
  <c r="CY31" i="2"/>
  <c r="CY30" i="2"/>
  <c r="CY154" i="2"/>
  <c r="CY131" i="2"/>
  <c r="CY64" i="2"/>
  <c r="CY67" i="2"/>
  <c r="CY104" i="2"/>
  <c r="CY29" i="2"/>
  <c r="CY17" i="2"/>
  <c r="CY146" i="2"/>
  <c r="CY83" i="2"/>
  <c r="CY7" i="2"/>
  <c r="CY109" i="2"/>
  <c r="CY27" i="2"/>
  <c r="CY74" i="2"/>
  <c r="CY87" i="2"/>
  <c r="CY68" i="2"/>
  <c r="CY53" i="2"/>
  <c r="CY19" i="2"/>
  <c r="CY45" i="2"/>
  <c r="CY48" i="2"/>
  <c r="CY40" i="2"/>
  <c r="CY58" i="2"/>
  <c r="CY75" i="2"/>
  <c r="CY84" i="2"/>
  <c r="CY16" i="2"/>
  <c r="CY50" i="2"/>
  <c r="CY22" i="2"/>
  <c r="CY144" i="2"/>
  <c r="CY138" i="2"/>
  <c r="CY150" i="2"/>
  <c r="CY4" i="2"/>
  <c r="CY129" i="2"/>
  <c r="CY174" i="2"/>
  <c r="CY39" i="2"/>
  <c r="CY130" i="2"/>
  <c r="CY70" i="2"/>
  <c r="CY77" i="2"/>
  <c r="CY6" i="2"/>
  <c r="CY172" i="2"/>
  <c r="CY82" i="2"/>
  <c r="CY3" i="2"/>
  <c r="C10" i="4" s="1"/>
  <c r="E10" i="4" s="1"/>
  <c r="F10" i="4" s="1"/>
  <c r="G10" i="4" s="1"/>
  <c r="L10" i="4" s="1"/>
  <c r="CY171" i="2"/>
  <c r="CY93" i="2"/>
  <c r="CY152" i="2"/>
  <c r="CY161" i="2"/>
  <c r="CY106" i="2"/>
  <c r="CY59" i="2"/>
  <c r="CY202" i="2"/>
  <c r="CY167" i="2"/>
  <c r="CY121" i="2"/>
  <c r="CY177" i="2"/>
  <c r="CY54" i="2"/>
  <c r="CY183" i="2"/>
  <c r="CY61" i="2"/>
  <c r="CY37" i="2"/>
  <c r="CY185" i="2"/>
  <c r="CY79" i="2"/>
  <c r="CY99" i="2"/>
  <c r="CY89" i="2"/>
  <c r="CY91" i="2"/>
  <c r="CY25" i="2"/>
  <c r="CY112" i="2"/>
  <c r="CY55" i="2"/>
  <c r="CY5" i="2"/>
  <c r="CY62" i="2"/>
  <c r="CY94" i="2"/>
  <c r="CY34" i="2"/>
  <c r="CY165" i="2"/>
  <c r="CY133" i="2"/>
  <c r="CY42" i="2"/>
  <c r="CY189" i="2"/>
  <c r="CY153" i="2"/>
  <c r="CY139" i="2"/>
  <c r="CY46" i="2"/>
  <c r="CY90" i="2"/>
  <c r="CY157" i="2"/>
  <c r="CY159" i="2"/>
  <c r="CY156" i="2"/>
  <c r="CY100" i="2"/>
  <c r="CY52" i="2"/>
  <c r="CY73" i="2"/>
  <c r="CY76" i="2"/>
  <c r="CY11" i="2"/>
  <c r="CY147" i="2"/>
  <c r="CY20" i="2"/>
  <c r="CY122" i="2"/>
  <c r="CY184" i="2"/>
  <c r="CY8" i="2"/>
  <c r="CY69" i="2"/>
  <c r="CY119" i="2"/>
  <c r="CY115" i="2"/>
  <c r="CY33" i="2"/>
  <c r="CY126" i="2"/>
  <c r="CY21" i="2"/>
  <c r="CY197" i="2"/>
  <c r="CY108" i="2"/>
  <c r="CY134" i="2"/>
  <c r="CY60" i="2"/>
  <c r="CY132" i="2"/>
  <c r="CY125" i="2"/>
  <c r="CY199" i="2"/>
  <c r="CY163" i="2"/>
  <c r="CY128" i="2"/>
  <c r="CY196" i="2"/>
  <c r="CY26" i="2"/>
  <c r="CY28" i="2"/>
  <c r="CY170" i="2"/>
  <c r="CY43" i="2"/>
  <c r="CY105" i="2"/>
  <c r="CY23" i="2"/>
  <c r="CY97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tc={3D686E03-77FE-4B7B-9798-CD3BD54A3019}</author>
  </authors>
  <commentList>
    <comment ref="C84" authorId="0" shapeId="0" xr:uid="{3D686E03-77FE-4B7B-9798-CD3BD54A301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Idem à la version précédente
</t>
      </text>
    </comment>
  </commentList>
</comments>
</file>

<file path=xl/sharedStrings.xml><?xml version="1.0" encoding="utf-8"?>
<sst xmlns="http://schemas.openxmlformats.org/spreadsheetml/2006/main" count="1179" uniqueCount="328">
  <si>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</si>
  <si>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</si>
  <si>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</si>
  <si>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</si>
  <si>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</si>
  <si>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</si>
  <si>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</si>
  <si>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</si>
  <si>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</si>
  <si>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</si>
  <si>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</si>
  <si>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</si>
  <si>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</si>
  <si>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</si>
  <si>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</si>
  <si>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</si>
  <si>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</si>
  <si>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</si>
  <si>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</si>
  <si>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Erable sycomore</t>
  </si>
  <si>
    <t>Essence 3</t>
  </si>
  <si>
    <t>Merisier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</si>
  <si>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</si>
  <si>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</si>
  <si>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</si>
  <si>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</si>
  <si>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</si>
  <si>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</si>
  <si>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</si>
  <si>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</si>
  <si>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</si>
  <si>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</si>
  <si>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</si>
  <si>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</si>
  <si>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</si>
  <si>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</si>
  <si>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</si>
  <si>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</si>
  <si>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</si>
  <si>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</si>
  <si>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</si>
  <si>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</si>
  <si>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</si>
  <si>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</si>
  <si>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</si>
  <si>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</si>
  <si>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</si>
  <si>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</si>
  <si>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</si>
  <si>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</si>
  <si>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</si>
  <si>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</si>
  <si>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</si>
  <si>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</si>
  <si>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</si>
  <si>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</si>
  <si>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</si>
  <si>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</si>
  <si>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</si>
  <si>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</si>
  <si>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</si>
  <si>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</si>
  <si>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</si>
  <si>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</si>
  <si>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</si>
  <si>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</si>
  <si>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</si>
  <si>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</si>
  <si>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</si>
  <si>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</si>
  <si>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</si>
  <si>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Frêne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</si>
  <si>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</si>
  <si>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</si>
  <si>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</si>
  <si>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</si>
  <si>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</si>
  <si>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</si>
  <si>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</si>
  <si>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</si>
  <si>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</si>
  <si>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</si>
  <si>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</si>
  <si>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</si>
  <si>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</si>
  <si>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</si>
  <si>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</si>
  <si>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</si>
  <si>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</si>
  <si>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</si>
  <si>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</si>
  <si>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</si>
  <si>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</si>
  <si>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</si>
  <si>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</si>
  <si>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</si>
  <si>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</si>
  <si>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</si>
  <si>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</si>
  <si>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</si>
  <si>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</si>
  <si>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</si>
  <si>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</si>
  <si>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</si>
  <si>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</si>
  <si>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</si>
  <si>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</si>
  <si>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</si>
  <si>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</si>
  <si>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</si>
  <si>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</si>
  <si>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</si>
  <si>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</si>
  <si>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</si>
  <si>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</si>
  <si>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</si>
  <si>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</si>
  <si>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</si>
  <si>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</si>
  <si>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</si>
  <si>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</si>
  <si>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</si>
  <si>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</si>
  <si>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</si>
  <si>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</si>
  <si>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</si>
  <si>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</si>
  <si>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</si>
  <si>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</si>
  <si>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</si>
  <si>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</si>
  <si>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</si>
  <si>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</si>
  <si>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</si>
  <si>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</si>
  <si>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</si>
  <si>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</si>
  <si>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</si>
  <si>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</si>
  <si>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</si>
  <si>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</si>
  <si>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</si>
  <si>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</si>
  <si>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</si>
  <si>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</si>
  <si>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</si>
  <si>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</si>
  <si>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</si>
  <si>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</si>
  <si>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</si>
  <si>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</si>
  <si>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</si>
  <si>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</si>
  <si>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</si>
  <si>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</si>
  <si>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</si>
  <si>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</si>
  <si>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</si>
  <si>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</si>
  <si>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</si>
  <si>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</si>
  <si>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</si>
  <si>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</si>
  <si>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</si>
  <si>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</si>
  <si>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</si>
  <si>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</si>
  <si>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</si>
  <si>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</si>
  <si>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</si>
  <si>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</si>
  <si>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</si>
  <si>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</si>
  <si>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</si>
  <si>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</si>
  <si>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</si>
  <si>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</si>
  <si>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</si>
  <si>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</si>
  <si>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</si>
  <si>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</si>
  <si>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</si>
  <si>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</si>
  <si>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</si>
  <si>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</si>
  <si>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</si>
  <si>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</si>
  <si>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</si>
  <si>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</si>
  <si>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</si>
  <si>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</si>
  <si>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</si>
  <si>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</si>
  <si>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</si>
  <si>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</si>
  <si>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</si>
  <si>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</si>
  <si>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</si>
  <si>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</si>
  <si>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</si>
  <si>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</si>
  <si>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</si>
  <si>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</si>
  <si>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</si>
  <si>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</si>
  <si>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</si>
  <si>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</si>
  <si>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</si>
  <si>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</si>
  <si>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</si>
  <si>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</si>
  <si>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</si>
  <si>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</si>
  <si>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</si>
  <si>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</si>
  <si>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</si>
  <si>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</si>
  <si>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</si>
  <si>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</si>
  <si>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</si>
  <si>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</si>
  <si>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</si>
  <si>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</si>
  <si>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</si>
  <si>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</si>
  <si>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</si>
  <si>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</si>
  <si>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</si>
  <si>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</si>
  <si>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</si>
  <si>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</si>
  <si>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</si>
  <si>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</si>
  <si>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</si>
  <si>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</si>
  <si>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</si>
  <si>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</si>
  <si>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</si>
  <si>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</si>
  <si>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</si>
  <si>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</si>
  <si>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</si>
  <si>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</si>
  <si>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</si>
  <si>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</si>
  <si>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</si>
  <si>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</si>
  <si>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</si>
  <si>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</si>
  <si>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</si>
  <si>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</si>
  <si>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</si>
  <si>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</si>
  <si>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</si>
  <si>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</si>
  <si>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</si>
  <si>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</si>
  <si>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</si>
  <si>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</si>
  <si>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</si>
  <si>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</si>
  <si>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</si>
  <si>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</si>
  <si>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</si>
  <si>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</si>
  <si>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</si>
  <si>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</si>
  <si>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</si>
  <si>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</si>
  <si>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</si>
  <si>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</si>
  <si>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</si>
  <si>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</si>
  <si>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</si>
  <si>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</si>
  <si>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</si>
  <si>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</si>
  <si>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</si>
  <si>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</si>
  <si>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</si>
  <si>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</si>
  <si>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</si>
  <si>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</si>
  <si>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</si>
  <si>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</si>
  <si>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</si>
  <si>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</si>
  <si>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</si>
  <si>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</si>
  <si>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</si>
  <si>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</si>
  <si>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</si>
  <si>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</si>
  <si>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</si>
  <si>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</si>
  <si>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</si>
  <si>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</si>
  <si>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</si>
  <si>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</si>
  <si>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</si>
  <si>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</si>
  <si>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</si>
  <si>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</si>
  <si>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</si>
  <si>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</si>
  <si>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</si>
  <si>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</si>
  <si>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</si>
  <si>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</si>
  <si>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</si>
  <si>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</si>
  <si>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</si>
  <si>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</si>
  <si>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</si>
  <si>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</si>
  <si>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</si>
  <si>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</si>
  <si>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</si>
  <si>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</si>
  <si>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</si>
  <si>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</si>
  <si>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</si>
  <si>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</si>
  <si>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</si>
  <si>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</si>
  <si>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TCD ONF_F1_Bassin ligérien</t>
  </si>
  <si>
    <t>UK comm For_F10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</si>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</sst>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cas ELLENS" id="{0D762EC0-9FF7-4713-A9FC-66B48BD12393}" userId="S::lucas.ellens@fransylva.fr::bb742131-6406-4aee-b91f-326ef12f5f95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4" dT="2023-03-06T15:44:20.05" personId="{0D762EC0-9FF7-4713-A9FC-66B48BD12393}" id="{3D686E03-77FE-4B7B-9798-CD3BD54A3019}">
    <text xml:space="preserve">Idem à la version précédente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ColWidth="11.453125" defaultRowHeight="14.5"/>
  <cols>
    <col min="1" max="1" width="6.7265625" customWidth="1"/>
    <col min="2" max="13" width="15.81640625" customWidth="1"/>
  </cols>
  <sheetData>
    <row r="12" spans="2:13" ht="15" customHeight="1">
      <c r="B12" s="259" t="s">
        <v>0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>
      <c r="B18" s="259" t="s">
        <v>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1" zoomScale="70" zoomScaleNormal="70" workbookViewId="0">
      <selection activeCell="L84" sqref="L84"/>
    </sheetView>
  </sheetViews>
  <sheetFormatPr baseColWidth="10" defaultColWidth="11.26953125" defaultRowHeight="14.5"/>
  <cols>
    <col min="1" max="1" width="13.7265625" style="23" customWidth="1"/>
    <col min="2" max="2" width="36" style="23" customWidth="1"/>
    <col min="3" max="3" width="14.81640625" style="23" bestFit="1" customWidth="1"/>
    <col min="4" max="4" width="16.269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26953125" style="23"/>
  </cols>
  <sheetData>
    <row r="1" spans="1:38">
      <c r="A1" s="4"/>
      <c r="B1" s="4"/>
      <c r="C1" s="264" t="s">
        <v>2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>
      <c r="A3" s="4"/>
      <c r="B3" s="265" t="s">
        <v>4</v>
      </c>
      <c r="C3" s="266"/>
      <c r="D3" s="266"/>
      <c r="E3" s="266"/>
      <c r="F3" s="26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>
      <c r="A5" s="270" t="s">
        <v>7</v>
      </c>
      <c r="B5" s="270"/>
      <c r="C5" s="24">
        <v>9.02</v>
      </c>
      <c r="D5" s="271" t="s">
        <v>8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>
      <c r="A7" s="269" t="s">
        <v>9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0.75</v>
      </c>
      <c r="D9" s="33">
        <f t="shared" ref="D9:D18" si="0">C9*$C$5</f>
        <v>6.7649999999999997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0.15</v>
      </c>
      <c r="D10" s="33">
        <f t="shared" si="0"/>
        <v>1.353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 t="s">
        <v>21</v>
      </c>
      <c r="C11" s="32">
        <v>0.1</v>
      </c>
      <c r="D11" s="33">
        <f t="shared" si="0"/>
        <v>0.90200000000000002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29</v>
      </c>
      <c r="C19" s="37">
        <f>SUM(C9:C18)</f>
        <v>1</v>
      </c>
      <c r="D19" s="38">
        <f>SUM(D9:D18)</f>
        <v>9.02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8" t="s">
        <v>30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36</v>
      </c>
      <c r="B26" s="42" t="s">
        <v>37</v>
      </c>
      <c r="C26" s="43">
        <v>0.1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9" t="s">
        <v>42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Chêne sessile</v>
      </c>
      <c r="C32" s="23" t="s">
        <v>325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44</v>
      </c>
      <c r="C34" s="260" t="s">
        <v>45</v>
      </c>
      <c r="D34" s="260"/>
      <c r="E34" s="261" t="s">
        <v>46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60">
        <v>34</v>
      </c>
      <c r="B36" s="257">
        <v>173.04</v>
      </c>
      <c r="C36" s="257">
        <v>1</v>
      </c>
      <c r="D36" s="60">
        <v>36.679999999999978</v>
      </c>
      <c r="E36" s="258">
        <v>0</v>
      </c>
      <c r="F36" s="258">
        <v>0.8</v>
      </c>
      <c r="G36" s="258">
        <v>0.2</v>
      </c>
      <c r="H36" s="258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60">
        <v>42</v>
      </c>
      <c r="B37" s="257">
        <v>248.01</v>
      </c>
      <c r="C37" s="257">
        <v>2</v>
      </c>
      <c r="D37" s="60">
        <v>58.099999999999994</v>
      </c>
      <c r="E37" s="258">
        <v>0</v>
      </c>
      <c r="F37" s="258">
        <v>0.8</v>
      </c>
      <c r="G37" s="258">
        <v>0.2</v>
      </c>
      <c r="H37" s="258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60">
        <v>50</v>
      </c>
      <c r="B38" s="257">
        <v>304.72000000000003</v>
      </c>
      <c r="C38" s="257">
        <v>3</v>
      </c>
      <c r="D38" s="60">
        <v>70.730000000000018</v>
      </c>
      <c r="E38" s="258">
        <v>0</v>
      </c>
      <c r="F38" s="258">
        <v>0.8</v>
      </c>
      <c r="G38" s="258">
        <v>0.2</v>
      </c>
      <c r="H38" s="258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60">
        <v>58</v>
      </c>
      <c r="B39" s="257">
        <v>346.58</v>
      </c>
      <c r="C39" s="257">
        <v>4</v>
      </c>
      <c r="D39" s="60">
        <v>65.819999999999993</v>
      </c>
      <c r="E39" s="258">
        <v>0.35</v>
      </c>
      <c r="F39" s="258">
        <v>0.2</v>
      </c>
      <c r="G39" s="258">
        <v>0.1</v>
      </c>
      <c r="H39" s="258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60">
        <v>66</v>
      </c>
      <c r="B40" s="257">
        <v>388.92</v>
      </c>
      <c r="C40" s="257">
        <v>5</v>
      </c>
      <c r="D40" s="60">
        <v>76.480000000000018</v>
      </c>
      <c r="E40" s="258">
        <v>0.35</v>
      </c>
      <c r="F40" s="258">
        <v>0.2</v>
      </c>
      <c r="G40" s="258">
        <v>0.1</v>
      </c>
      <c r="H40" s="258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60">
        <v>74</v>
      </c>
      <c r="B41" s="257">
        <v>414.8</v>
      </c>
      <c r="C41" s="257">
        <v>6</v>
      </c>
      <c r="D41" s="60">
        <v>75.29000000000002</v>
      </c>
      <c r="E41" s="258">
        <v>0.35</v>
      </c>
      <c r="F41" s="258">
        <v>0.2</v>
      </c>
      <c r="G41" s="258">
        <v>0.1</v>
      </c>
      <c r="H41" s="258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60">
        <v>82</v>
      </c>
      <c r="B42" s="257">
        <v>436.17</v>
      </c>
      <c r="C42" s="257">
        <v>7</v>
      </c>
      <c r="D42" s="60">
        <v>58.140000000000043</v>
      </c>
      <c r="E42" s="258">
        <v>0.35</v>
      </c>
      <c r="F42" s="258">
        <v>0.2</v>
      </c>
      <c r="G42" s="258">
        <v>0.1</v>
      </c>
      <c r="H42" s="258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60">
        <v>90</v>
      </c>
      <c r="B43" s="257">
        <v>471.37</v>
      </c>
      <c r="C43" s="257">
        <v>8</v>
      </c>
      <c r="D43" s="60">
        <v>68.54000000000002</v>
      </c>
      <c r="E43" s="258">
        <v>0.35</v>
      </c>
      <c r="F43" s="258">
        <v>0.2</v>
      </c>
      <c r="G43" s="258">
        <v>0.1</v>
      </c>
      <c r="H43" s="258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60">
        <v>100</v>
      </c>
      <c r="B44" s="257">
        <v>515.66999999999996</v>
      </c>
      <c r="C44" s="257">
        <v>9</v>
      </c>
      <c r="D44" s="60">
        <v>93.039999999999964</v>
      </c>
      <c r="E44" s="258">
        <v>0.5</v>
      </c>
      <c r="F44" s="258">
        <v>0.2</v>
      </c>
      <c r="G44" s="258">
        <v>0</v>
      </c>
      <c r="H44" s="258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60">
        <v>110</v>
      </c>
      <c r="B45" s="257">
        <v>531.04</v>
      </c>
      <c r="C45" s="257">
        <v>10</v>
      </c>
      <c r="D45" s="60">
        <v>73.299999999999955</v>
      </c>
      <c r="E45" s="258">
        <v>0.5</v>
      </c>
      <c r="F45" s="258">
        <v>0.2</v>
      </c>
      <c r="G45" s="258">
        <v>0</v>
      </c>
      <c r="H45" s="258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60">
        <v>120</v>
      </c>
      <c r="B46" s="257">
        <v>565</v>
      </c>
      <c r="C46" s="257">
        <v>11</v>
      </c>
      <c r="D46" s="60">
        <v>66.050000000000011</v>
      </c>
      <c r="E46" s="258">
        <v>0.5</v>
      </c>
      <c r="F46" s="258">
        <v>0.2</v>
      </c>
      <c r="G46" s="258">
        <v>0</v>
      </c>
      <c r="H46" s="258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60">
        <v>130</v>
      </c>
      <c r="B47" s="257">
        <v>606.41</v>
      </c>
      <c r="C47" s="257">
        <v>12</v>
      </c>
      <c r="D47" s="60">
        <v>75.799999999999955</v>
      </c>
      <c r="E47" s="258">
        <v>0.5</v>
      </c>
      <c r="F47" s="258">
        <v>0.2</v>
      </c>
      <c r="G47" s="258">
        <v>0</v>
      </c>
      <c r="H47" s="258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60">
        <v>140</v>
      </c>
      <c r="B48" s="60">
        <v>639.04999999999995</v>
      </c>
      <c r="C48" s="257">
        <v>13</v>
      </c>
      <c r="D48" s="60">
        <v>74.669999999999959</v>
      </c>
      <c r="E48" s="258">
        <v>0.5</v>
      </c>
      <c r="F48" s="258">
        <v>0.2</v>
      </c>
      <c r="G48" s="258">
        <v>0</v>
      </c>
      <c r="H48" s="258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60">
        <v>150</v>
      </c>
      <c r="B49" s="60">
        <v>673.13</v>
      </c>
      <c r="C49" s="257">
        <v>14</v>
      </c>
      <c r="D49" s="60">
        <v>259.52</v>
      </c>
      <c r="E49" s="258">
        <v>0.45</v>
      </c>
      <c r="F49" s="258">
        <v>0.05</v>
      </c>
      <c r="G49" s="258">
        <v>0.05</v>
      </c>
      <c r="H49" s="258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60">
        <v>153</v>
      </c>
      <c r="B50" s="60">
        <v>434.97</v>
      </c>
      <c r="C50" s="257">
        <v>15</v>
      </c>
      <c r="D50" s="60">
        <v>156.29000000000002</v>
      </c>
      <c r="E50" s="258">
        <v>0.45</v>
      </c>
      <c r="F50" s="258">
        <v>0.05</v>
      </c>
      <c r="G50" s="258">
        <v>0.05</v>
      </c>
      <c r="H50" s="258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>
        <v>156</v>
      </c>
      <c r="B51" s="50">
        <v>290.93</v>
      </c>
      <c r="C51" s="50">
        <v>16</v>
      </c>
      <c r="D51" s="50">
        <v>96.65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>
        <v>159</v>
      </c>
      <c r="B52" s="50">
        <v>201.48</v>
      </c>
      <c r="C52" s="50">
        <v>17</v>
      </c>
      <c r="D52" s="50">
        <v>201.48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Erable sycomore</v>
      </c>
      <c r="C58" s="23" t="s">
        <v>326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44</v>
      </c>
      <c r="C60" s="260" t="s">
        <v>45</v>
      </c>
      <c r="D60" s="260"/>
      <c r="E60" s="261" t="s">
        <v>46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15</v>
      </c>
      <c r="B62" s="60">
        <v>65</v>
      </c>
      <c r="C62" s="60">
        <v>1</v>
      </c>
      <c r="D62" s="60">
        <v>32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4.333333333333333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20</v>
      </c>
      <c r="B63" s="60">
        <v>102</v>
      </c>
      <c r="C63" s="60">
        <v>2</v>
      </c>
      <c r="D63" s="60">
        <v>35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13.8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25</v>
      </c>
      <c r="B64" s="60">
        <v>141</v>
      </c>
      <c r="C64" s="60">
        <v>3</v>
      </c>
      <c r="D64" s="60">
        <v>35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14.8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30</v>
      </c>
      <c r="B65" s="60">
        <v>177</v>
      </c>
      <c r="C65" s="60">
        <v>4</v>
      </c>
      <c r="D65" s="60">
        <v>35</v>
      </c>
      <c r="E65" s="51">
        <v>0.25</v>
      </c>
      <c r="F65" s="51">
        <v>0.25</v>
      </c>
      <c r="G65" s="51">
        <v>0.25</v>
      </c>
      <c r="H65" s="51">
        <v>0.25</v>
      </c>
      <c r="I65" s="49">
        <f>IF(A65&lt;&gt;0,(B65-(B64-D64))/(A65-A64),"")</f>
        <v>14.2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35</v>
      </c>
      <c r="B66" s="60">
        <v>206</v>
      </c>
      <c r="C66" s="60">
        <v>5</v>
      </c>
      <c r="D66" s="60">
        <v>35</v>
      </c>
      <c r="E66" s="51">
        <v>0.25</v>
      </c>
      <c r="F66" s="51">
        <v>0.25</v>
      </c>
      <c r="G66" s="51">
        <v>0.25</v>
      </c>
      <c r="H66" s="51">
        <v>0.25</v>
      </c>
      <c r="I66" s="49">
        <f t="shared" ref="I66:I81" si="2">IF(A66&lt;&gt;0,(B66-(B65-D65))/(A66-A65),"")</f>
        <v>12.8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40</v>
      </c>
      <c r="B67" s="60">
        <v>228</v>
      </c>
      <c r="C67" s="60">
        <v>6</v>
      </c>
      <c r="D67" s="60">
        <v>35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45</v>
      </c>
      <c r="B68" s="60">
        <v>242</v>
      </c>
      <c r="C68" s="60">
        <v>7</v>
      </c>
      <c r="D68" s="60">
        <v>24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50</v>
      </c>
      <c r="B69" s="50">
        <v>261</v>
      </c>
      <c r="C69" s="60">
        <v>8</v>
      </c>
      <c r="D69" s="50">
        <v>19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>
        <v>55</v>
      </c>
      <c r="B70" s="50">
        <v>279</v>
      </c>
      <c r="C70" s="60">
        <v>9</v>
      </c>
      <c r="D70" s="50">
        <v>16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>
        <v>60</v>
      </c>
      <c r="B71" s="50">
        <v>294</v>
      </c>
      <c r="C71" s="50">
        <v>10</v>
      </c>
      <c r="D71" s="50">
        <v>14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6.2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>
        <v>65</v>
      </c>
      <c r="B72" s="50">
        <v>306</v>
      </c>
      <c r="C72" s="50">
        <v>11</v>
      </c>
      <c r="D72" s="50">
        <v>13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5.2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>
        <v>70</v>
      </c>
      <c r="B73" s="50">
        <v>316</v>
      </c>
      <c r="C73" s="50">
        <v>12</v>
      </c>
      <c r="D73" s="50">
        <v>13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>
        <v>75</v>
      </c>
      <c r="B74" s="50">
        <v>324</v>
      </c>
      <c r="C74" s="50">
        <v>13</v>
      </c>
      <c r="D74" s="50">
        <v>12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4.2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>
        <v>80</v>
      </c>
      <c r="B75" s="50">
        <v>330</v>
      </c>
      <c r="C75" s="50" t="s">
        <v>56</v>
      </c>
      <c r="D75" s="50">
        <v>330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3.6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>Merisier</v>
      </c>
      <c r="C84" s="23" t="s">
        <v>327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44</v>
      </c>
      <c r="C86" s="260" t="s">
        <v>45</v>
      </c>
      <c r="D86" s="260"/>
      <c r="E86" s="261" t="s">
        <v>46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15</v>
      </c>
      <c r="B88" s="60">
        <v>40</v>
      </c>
      <c r="C88" s="60">
        <v>1</v>
      </c>
      <c r="D88" s="60">
        <v>3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20</v>
      </c>
      <c r="B89" s="60">
        <v>85</v>
      </c>
      <c r="C89" s="60">
        <v>2</v>
      </c>
      <c r="D89" s="60">
        <v>25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25</v>
      </c>
      <c r="B90" s="60">
        <v>113</v>
      </c>
      <c r="C90" s="60">
        <v>3</v>
      </c>
      <c r="D90" s="60">
        <v>27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31</v>
      </c>
      <c r="B91" s="60">
        <v>155</v>
      </c>
      <c r="C91" s="60">
        <v>4</v>
      </c>
      <c r="D91" s="60">
        <v>36</v>
      </c>
      <c r="E91" s="87">
        <v>0.25</v>
      </c>
      <c r="F91" s="87">
        <v>0.25</v>
      </c>
      <c r="G91" s="87">
        <v>0.25</v>
      </c>
      <c r="H91" s="87">
        <v>0.25</v>
      </c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37</v>
      </c>
      <c r="B92" s="60">
        <v>188</v>
      </c>
      <c r="C92" s="60">
        <v>5</v>
      </c>
      <c r="D92" s="60">
        <v>36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44</v>
      </c>
      <c r="B93" s="60">
        <v>230</v>
      </c>
      <c r="C93" s="60">
        <v>6</v>
      </c>
      <c r="D93" s="60">
        <v>43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52</v>
      </c>
      <c r="B94" s="60">
        <v>270</v>
      </c>
      <c r="C94" s="60">
        <v>7</v>
      </c>
      <c r="D94" s="60">
        <v>48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60</v>
      </c>
      <c r="B95" s="60">
        <v>297</v>
      </c>
      <c r="C95" s="60">
        <v>8</v>
      </c>
      <c r="D95" s="60">
        <v>47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9.375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69</v>
      </c>
      <c r="B96" s="60">
        <v>328</v>
      </c>
      <c r="C96" s="60" t="s">
        <v>56</v>
      </c>
      <c r="D96" s="60">
        <v>328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44</v>
      </c>
      <c r="C112" s="260" t="s">
        <v>45</v>
      </c>
      <c r="D112" s="260"/>
      <c r="E112" s="261" t="s">
        <v>46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>
        <v>15</v>
      </c>
      <c r="B114" s="60">
        <v>40</v>
      </c>
      <c r="C114" s="50">
        <v>1</v>
      </c>
      <c r="D114" s="60">
        <v>3</v>
      </c>
      <c r="E114" s="51"/>
      <c r="F114" s="51"/>
      <c r="G114" s="51"/>
      <c r="H114" s="51">
        <v>1</v>
      </c>
      <c r="I114" s="53">
        <f>IFERROR(B114/A114,"")</f>
        <v>2.6666666666666665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>
        <v>20</v>
      </c>
      <c r="B115" s="60">
        <v>85</v>
      </c>
      <c r="C115" s="50">
        <v>2</v>
      </c>
      <c r="D115" s="60">
        <v>25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>
        <v>25</v>
      </c>
      <c r="B116" s="60">
        <v>113</v>
      </c>
      <c r="C116" s="50">
        <v>3</v>
      </c>
      <c r="D116" s="60">
        <v>27</v>
      </c>
      <c r="E116" s="51"/>
      <c r="F116" s="51"/>
      <c r="G116" s="51"/>
      <c r="H116" s="51">
        <v>1</v>
      </c>
      <c r="I116" s="53">
        <f t="shared" si="4"/>
        <v>10.6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>
        <v>31</v>
      </c>
      <c r="B117" s="60">
        <v>155</v>
      </c>
      <c r="C117" s="50">
        <v>4</v>
      </c>
      <c r="D117" s="60">
        <v>36</v>
      </c>
      <c r="E117" s="51"/>
      <c r="F117" s="51"/>
      <c r="G117" s="51"/>
      <c r="H117" s="51">
        <v>1</v>
      </c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>
        <v>37</v>
      </c>
      <c r="B118" s="60">
        <v>188</v>
      </c>
      <c r="C118" s="50">
        <v>5</v>
      </c>
      <c r="D118" s="60">
        <v>36</v>
      </c>
      <c r="E118" s="51"/>
      <c r="F118" s="51"/>
      <c r="G118" s="51"/>
      <c r="H118" s="51">
        <v>1</v>
      </c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>
        <v>44</v>
      </c>
      <c r="B119" s="60">
        <v>230</v>
      </c>
      <c r="C119" s="50">
        <v>6</v>
      </c>
      <c r="D119" s="60">
        <v>43</v>
      </c>
      <c r="E119" s="51"/>
      <c r="F119" s="51"/>
      <c r="G119" s="51"/>
      <c r="H119" s="51">
        <v>1</v>
      </c>
      <c r="I119" s="53">
        <f t="shared" si="4"/>
        <v>11.142857142857142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>
        <v>52</v>
      </c>
      <c r="B120" s="60">
        <v>270</v>
      </c>
      <c r="C120" s="60">
        <v>7</v>
      </c>
      <c r="D120" s="60">
        <v>48</v>
      </c>
      <c r="E120" s="87">
        <v>0.5</v>
      </c>
      <c r="F120" s="87"/>
      <c r="G120" s="87"/>
      <c r="H120" s="87">
        <v>1</v>
      </c>
      <c r="I120" s="53">
        <f t="shared" si="4"/>
        <v>10.375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>
        <v>60</v>
      </c>
      <c r="B121" s="60">
        <v>297</v>
      </c>
      <c r="C121" s="60">
        <v>8</v>
      </c>
      <c r="D121" s="60">
        <v>47</v>
      </c>
      <c r="E121" s="87">
        <v>0.5</v>
      </c>
      <c r="F121" s="87"/>
      <c r="G121" s="87"/>
      <c r="H121" s="87">
        <v>1</v>
      </c>
      <c r="I121" s="53">
        <f t="shared" si="4"/>
        <v>9.375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>
        <v>69</v>
      </c>
      <c r="B122" s="60">
        <v>328</v>
      </c>
      <c r="C122" s="60" t="s">
        <v>56</v>
      </c>
      <c r="D122" s="60">
        <v>328</v>
      </c>
      <c r="E122" s="87">
        <v>1</v>
      </c>
      <c r="F122" s="87"/>
      <c r="G122" s="87"/>
      <c r="H122" s="87"/>
      <c r="I122" s="53">
        <f t="shared" si="4"/>
        <v>8.6666666666666661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44</v>
      </c>
      <c r="C138" s="260" t="s">
        <v>45</v>
      </c>
      <c r="D138" s="260"/>
      <c r="E138" s="261" t="s">
        <v>46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>
        <v>36</v>
      </c>
      <c r="B140" s="60">
        <v>82.80019999999999</v>
      </c>
      <c r="C140" s="50">
        <v>1</v>
      </c>
      <c r="D140" s="60">
        <v>0</v>
      </c>
      <c r="E140" s="51"/>
      <c r="F140" s="51"/>
      <c r="G140" s="51"/>
      <c r="H140" s="51">
        <v>1</v>
      </c>
      <c r="I140" s="57">
        <f>IFERROR(B140/A140,"")</f>
        <v>2.3000055555555554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>
        <v>44</v>
      </c>
      <c r="B141" s="60">
        <v>113.06260000000002</v>
      </c>
      <c r="C141" s="50">
        <v>2</v>
      </c>
      <c r="D141" s="60">
        <v>0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3.7828000000000035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>
        <v>52</v>
      </c>
      <c r="B142" s="60">
        <v>127</v>
      </c>
      <c r="C142" s="50">
        <v>3</v>
      </c>
      <c r="D142" s="60">
        <v>29</v>
      </c>
      <c r="E142" s="51"/>
      <c r="F142" s="51"/>
      <c r="G142" s="51"/>
      <c r="H142" s="51">
        <v>1</v>
      </c>
      <c r="I142" s="57">
        <f t="shared" si="5"/>
        <v>1.7421749999999978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>
        <v>60</v>
      </c>
      <c r="B143" s="60">
        <v>147</v>
      </c>
      <c r="C143" s="50">
        <v>4</v>
      </c>
      <c r="D143" s="60">
        <v>30</v>
      </c>
      <c r="E143" s="51"/>
      <c r="F143" s="51"/>
      <c r="G143" s="51"/>
      <c r="H143" s="51">
        <v>1</v>
      </c>
      <c r="I143" s="57">
        <f t="shared" si="5"/>
        <v>6.125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>
        <v>68</v>
      </c>
      <c r="B144" s="60">
        <v>166</v>
      </c>
      <c r="C144" s="50">
        <v>5</v>
      </c>
      <c r="D144" s="60">
        <v>31</v>
      </c>
      <c r="E144" s="51">
        <v>0.5</v>
      </c>
      <c r="F144" s="51">
        <v>0.4</v>
      </c>
      <c r="G144" s="51"/>
      <c r="H144" s="51">
        <v>0.1</v>
      </c>
      <c r="I144" s="57">
        <f t="shared" si="5"/>
        <v>6.125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>
        <v>78</v>
      </c>
      <c r="B145" s="60">
        <v>194</v>
      </c>
      <c r="C145" s="50">
        <v>6</v>
      </c>
      <c r="D145" s="60">
        <v>32</v>
      </c>
      <c r="E145" s="51">
        <v>0.5</v>
      </c>
      <c r="F145" s="51">
        <v>0.4</v>
      </c>
      <c r="G145" s="51"/>
      <c r="H145" s="51">
        <v>0.1</v>
      </c>
      <c r="I145" s="57">
        <f t="shared" si="5"/>
        <v>5.9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>
        <v>88</v>
      </c>
      <c r="B146" s="60">
        <v>219</v>
      </c>
      <c r="C146" s="50">
        <v>7</v>
      </c>
      <c r="D146" s="60">
        <v>35</v>
      </c>
      <c r="E146" s="51">
        <v>0.5</v>
      </c>
      <c r="F146" s="51">
        <v>0.4</v>
      </c>
      <c r="G146" s="51"/>
      <c r="H146" s="51">
        <v>0.1</v>
      </c>
      <c r="I146" s="57">
        <f t="shared" si="5"/>
        <v>5.7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>
        <v>98</v>
      </c>
      <c r="B147" s="60">
        <v>241</v>
      </c>
      <c r="C147" s="50">
        <v>8</v>
      </c>
      <c r="D147" s="60">
        <v>34</v>
      </c>
      <c r="E147" s="51">
        <v>0.5</v>
      </c>
      <c r="F147" s="51">
        <v>0.4</v>
      </c>
      <c r="G147" s="51"/>
      <c r="H147" s="51">
        <v>0.1</v>
      </c>
      <c r="I147" s="57">
        <f>IF(A147&lt;&gt;0,(B147-(B146-D146))/(A147-A146),"")</f>
        <v>5.7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>
        <v>108</v>
      </c>
      <c r="B148" s="60">
        <v>264</v>
      </c>
      <c r="C148" s="50">
        <v>9</v>
      </c>
      <c r="D148" s="60">
        <v>39</v>
      </c>
      <c r="E148" s="51">
        <v>0.5</v>
      </c>
      <c r="F148" s="51">
        <v>0.4</v>
      </c>
      <c r="G148" s="51"/>
      <c r="H148" s="51">
        <v>0.1</v>
      </c>
      <c r="I148" s="57">
        <f t="shared" si="5"/>
        <v>5.7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>
        <v>118</v>
      </c>
      <c r="B149" s="60">
        <v>281</v>
      </c>
      <c r="C149" s="50">
        <v>10</v>
      </c>
      <c r="D149" s="60">
        <v>40</v>
      </c>
      <c r="E149" s="51">
        <v>0.5</v>
      </c>
      <c r="F149" s="51">
        <v>0.4</v>
      </c>
      <c r="G149" s="51"/>
      <c r="H149" s="51">
        <v>0.1</v>
      </c>
      <c r="I149" s="57">
        <f t="shared" si="5"/>
        <v>5.6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>
        <v>128</v>
      </c>
      <c r="B150" s="60">
        <v>297</v>
      </c>
      <c r="C150" s="50">
        <v>11</v>
      </c>
      <c r="D150" s="60">
        <v>39</v>
      </c>
      <c r="E150" s="51">
        <v>0.5</v>
      </c>
      <c r="F150" s="51">
        <v>0.4</v>
      </c>
      <c r="G150" s="51"/>
      <c r="H150" s="51">
        <v>0.1</v>
      </c>
      <c r="I150" s="57">
        <f t="shared" si="5"/>
        <v>5.6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>
        <v>138</v>
      </c>
      <c r="B151" s="60">
        <v>315</v>
      </c>
      <c r="C151" s="50">
        <v>12</v>
      </c>
      <c r="D151" s="60">
        <v>39</v>
      </c>
      <c r="E151" s="51">
        <v>0.5</v>
      </c>
      <c r="F151" s="51">
        <v>0.4</v>
      </c>
      <c r="G151" s="51"/>
      <c r="H151" s="51">
        <v>0.1</v>
      </c>
      <c r="I151" s="57">
        <f t="shared" si="5"/>
        <v>5.7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>
        <v>148</v>
      </c>
      <c r="B152" s="60">
        <v>334</v>
      </c>
      <c r="C152" s="50">
        <v>13</v>
      </c>
      <c r="D152" s="60">
        <v>41</v>
      </c>
      <c r="E152" s="54">
        <v>0.5</v>
      </c>
      <c r="F152" s="54">
        <v>0.4</v>
      </c>
      <c r="G152" s="54"/>
      <c r="H152" s="54">
        <v>0.1</v>
      </c>
      <c r="I152" s="57">
        <f t="shared" si="5"/>
        <v>5.8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>
        <v>185</v>
      </c>
      <c r="B153" s="60">
        <v>351</v>
      </c>
      <c r="C153" s="50">
        <v>14</v>
      </c>
      <c r="D153" s="60">
        <v>41</v>
      </c>
      <c r="E153" s="54">
        <v>0.5</v>
      </c>
      <c r="F153" s="54">
        <v>0.4</v>
      </c>
      <c r="G153" s="54"/>
      <c r="H153" s="54">
        <v>0.1</v>
      </c>
      <c r="I153" s="57">
        <f t="shared" si="5"/>
        <v>1.5675675675675675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>
        <v>168</v>
      </c>
      <c r="B154" s="56">
        <v>369</v>
      </c>
      <c r="C154" s="50">
        <v>15</v>
      </c>
      <c r="D154" s="50">
        <v>41</v>
      </c>
      <c r="E154" s="54">
        <v>0.5</v>
      </c>
      <c r="F154" s="54">
        <v>0.4</v>
      </c>
      <c r="G154" s="54"/>
      <c r="H154" s="54">
        <v>0.1</v>
      </c>
      <c r="I154" s="57">
        <f t="shared" si="5"/>
        <v>-3.4705882352941178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>
        <v>180</v>
      </c>
      <c r="B155" s="56">
        <v>368</v>
      </c>
      <c r="C155" s="50" t="s">
        <v>56</v>
      </c>
      <c r="D155" s="50">
        <v>368</v>
      </c>
      <c r="E155" s="54">
        <v>1</v>
      </c>
      <c r="F155" s="54"/>
      <c r="G155" s="54"/>
      <c r="H155" s="54"/>
      <c r="I155" s="57">
        <f t="shared" si="5"/>
        <v>3.3333333333333335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44</v>
      </c>
      <c r="C164" s="260" t="s">
        <v>45</v>
      </c>
      <c r="D164" s="260"/>
      <c r="E164" s="261" t="s">
        <v>46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44</v>
      </c>
      <c r="C190" s="260" t="s">
        <v>45</v>
      </c>
      <c r="D190" s="260"/>
      <c r="E190" s="261" t="s">
        <v>46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44</v>
      </c>
      <c r="C216" s="260" t="s">
        <v>45</v>
      </c>
      <c r="D216" s="260"/>
      <c r="E216" s="261" t="s">
        <v>46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44</v>
      </c>
      <c r="C242" s="260" t="s">
        <v>45</v>
      </c>
      <c r="D242" s="260"/>
      <c r="E242" s="261" t="s">
        <v>46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44</v>
      </c>
      <c r="C268" s="260" t="s">
        <v>45</v>
      </c>
      <c r="D268" s="260"/>
      <c r="E268" s="261" t="s">
        <v>46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15" sqref="G15"/>
    </sheetView>
  </sheetViews>
  <sheetFormatPr baseColWidth="10" defaultColWidth="11.26953125" defaultRowHeight="14.5"/>
  <cols>
    <col min="1" max="1" width="5.81640625" style="1" customWidth="1"/>
    <col min="2" max="2" width="14" style="1" customWidth="1"/>
    <col min="3" max="3" width="62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26953125" style="1"/>
    <col min="11" max="11" width="12.54296875" style="1" customWidth="1"/>
    <col min="12" max="16384" width="11.269531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>
      <c r="A2" s="4"/>
      <c r="B2" s="274" t="s">
        <v>57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1</v>
      </c>
      <c r="C8" s="49" t="s">
        <v>62</v>
      </c>
      <c r="D8" s="23"/>
      <c r="E8" s="105">
        <v>4</v>
      </c>
      <c r="F8" s="61">
        <v>0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59</v>
      </c>
      <c r="C15" s="4"/>
      <c r="D15" s="23"/>
      <c r="E15" s="4"/>
      <c r="F15" s="4"/>
      <c r="G15" s="2" t="s">
        <v>71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1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26953125" defaultRowHeight="14.5"/>
  <cols>
    <col min="1" max="1" width="6.81640625" style="4" bestFit="1" customWidth="1"/>
    <col min="2" max="4" width="11.26953125" style="4"/>
    <col min="5" max="5" width="9.54296875" style="4" customWidth="1"/>
    <col min="6" max="7" width="11.26953125" style="4"/>
    <col min="8" max="8" width="10.7265625" style="4" customWidth="1"/>
    <col min="9" max="9" width="9.269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26953125" style="4"/>
    <col min="24" max="24" width="11.7265625" style="4" bestFit="1" customWidth="1"/>
    <col min="25" max="25" width="14.54296875" style="4" bestFit="1" customWidth="1"/>
    <col min="26" max="26" width="12.26953125" style="4" bestFit="1" customWidth="1"/>
    <col min="27" max="27" width="9.7265625" style="4" bestFit="1" customWidth="1"/>
    <col min="28" max="28" width="11" style="4" bestFit="1" customWidth="1"/>
    <col min="29" max="29" width="9.26953125" style="4" bestFit="1" customWidth="1"/>
    <col min="30" max="31" width="9.26953125" style="4" customWidth="1"/>
    <col min="32" max="32" width="11.26953125" style="4"/>
    <col min="33" max="34" width="14" style="4" bestFit="1" customWidth="1"/>
    <col min="35" max="35" width="10.54296875" style="4" bestFit="1" customWidth="1"/>
    <col min="36" max="36" width="9.269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26953125" style="4" bestFit="1" customWidth="1"/>
    <col min="47" max="47" width="9.26953125" style="4" bestFit="1" customWidth="1"/>
    <col min="48" max="48" width="9.7265625" style="4" bestFit="1" customWidth="1"/>
    <col min="49" max="49" width="11" style="4" bestFit="1" customWidth="1"/>
    <col min="50" max="50" width="9.26953125" style="4" bestFit="1" customWidth="1"/>
    <col min="51" max="52" width="9.269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269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26953125" style="4" bestFit="1" customWidth="1"/>
    <col min="68" max="68" width="9.26953125" style="4" bestFit="1" customWidth="1"/>
    <col min="69" max="69" width="9.7265625" style="4" bestFit="1" customWidth="1"/>
    <col min="70" max="70" width="11" style="4" bestFit="1" customWidth="1"/>
    <col min="71" max="71" width="9.26953125" style="4" bestFit="1" customWidth="1"/>
    <col min="72" max="73" width="9.269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26953125" style="4" bestFit="1" customWidth="1"/>
    <col min="79" max="80" width="10.54296875" style="4" bestFit="1" customWidth="1"/>
    <col min="81" max="83" width="10.54296875" style="4" customWidth="1"/>
    <col min="84" max="84" width="11.269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26953125" style="4" bestFit="1" customWidth="1"/>
    <col min="89" max="89" width="9.26953125" style="4" bestFit="1" customWidth="1"/>
    <col min="90" max="90" width="9.7265625" style="4" bestFit="1" customWidth="1"/>
    <col min="91" max="91" width="11" style="4" bestFit="1" customWidth="1"/>
    <col min="92" max="92" width="9.26953125" style="4" bestFit="1" customWidth="1"/>
    <col min="93" max="94" width="9.26953125" style="4" customWidth="1"/>
    <col min="95" max="95" width="11.26953125" style="4"/>
    <col min="96" max="97" width="14" style="4" customWidth="1"/>
    <col min="98" max="98" width="10.54296875" style="4" bestFit="1" customWidth="1"/>
    <col min="99" max="99" width="9.269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26953125" style="4" bestFit="1" customWidth="1"/>
    <col min="110" max="110" width="9.26953125" style="4" bestFit="1" customWidth="1"/>
    <col min="111" max="111" width="9.7265625" style="4" bestFit="1" customWidth="1"/>
    <col min="112" max="112" width="11" style="4" bestFit="1" customWidth="1"/>
    <col min="113" max="113" width="9.26953125" style="4" bestFit="1" customWidth="1"/>
    <col min="114" max="115" width="9.269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269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26953125" style="4" bestFit="1" customWidth="1"/>
    <col min="131" max="131" width="9.26953125" style="4" bestFit="1" customWidth="1"/>
    <col min="132" max="132" width="9.7265625" style="4" bestFit="1" customWidth="1"/>
    <col min="133" max="133" width="11" style="4" bestFit="1" customWidth="1"/>
    <col min="134" max="134" width="9.26953125" style="4" bestFit="1" customWidth="1"/>
    <col min="135" max="136" width="9.269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269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26953125" style="4" bestFit="1" customWidth="1"/>
    <col min="152" max="152" width="9.26953125" style="4" bestFit="1" customWidth="1"/>
    <col min="153" max="153" width="9.7265625" style="4" bestFit="1" customWidth="1"/>
    <col min="154" max="154" width="11" style="4" bestFit="1" customWidth="1"/>
    <col min="155" max="155" width="9.26953125" style="4" bestFit="1" customWidth="1"/>
    <col min="156" max="157" width="9.26953125" style="4" customWidth="1"/>
    <col min="158" max="158" width="11.26953125" style="4"/>
    <col min="159" max="160" width="14" style="4" bestFit="1" customWidth="1"/>
    <col min="161" max="161" width="10.54296875" style="4" bestFit="1" customWidth="1"/>
    <col min="162" max="162" width="9.269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" style="4" bestFit="1" customWidth="1"/>
    <col min="173" max="173" width="9.26953125" style="4" bestFit="1" customWidth="1"/>
    <col min="174" max="174" width="9.7265625" style="4" bestFit="1" customWidth="1"/>
    <col min="175" max="175" width="11" style="4" bestFit="1" customWidth="1"/>
    <col min="176" max="176" width="9.26953125" style="4" bestFit="1" customWidth="1"/>
    <col min="177" max="178" width="9.269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269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26953125" style="4"/>
    <col min="193" max="193" width="8.26953125" style="4" bestFit="1" customWidth="1"/>
    <col min="194" max="194" width="9.26953125" style="4" bestFit="1" customWidth="1"/>
    <col min="195" max="195" width="9.7265625" style="4" bestFit="1" customWidth="1"/>
    <col min="196" max="196" width="11" style="4" bestFit="1" customWidth="1"/>
    <col min="197" max="197" width="9.26953125" style="4" bestFit="1" customWidth="1"/>
    <col min="198" max="199" width="9.269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269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26953125" style="4" bestFit="1" customWidth="1"/>
    <col min="215" max="215" width="9.26953125" style="4" bestFit="1" customWidth="1"/>
    <col min="216" max="216" width="9.7265625" style="4" bestFit="1" customWidth="1"/>
    <col min="217" max="217" width="11" style="4" bestFit="1" customWidth="1"/>
    <col min="218" max="218" width="9.26953125" style="4" bestFit="1" customWidth="1"/>
    <col min="219" max="16384" width="11.26953125" style="4"/>
  </cols>
  <sheetData>
    <row r="1" spans="1:218" ht="26.5" thickBot="1">
      <c r="B1" s="280" t="s">
        <v>75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Chêne sessile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Erable sycomore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Merisier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737.40414421611001</v>
      </c>
      <c r="T3" s="59">
        <f>IF('Données projet'!E9&gt;30,$R$33-$H$33,LOOKUP('Données projet'!$E$9,$A$3:$A$203,R3:R203)-LOOKUP('Données projet'!$E$9,$A$3:$A$203,$H$3:$H$203))</f>
        <v>245.32893490531674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377.28055430105911</v>
      </c>
      <c r="AO3" s="59">
        <f>IF('Données projet'!E10&gt;30,$AM$33-$H$33,LOOKUP('Données projet'!$E$10,$A$3:$A$203,AM3:AM203)-LOOKUP('Données projet'!$E$10,$A$3:$A$203,$H$3:$H$203))</f>
        <v>364.58250627635425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308.85018589589453</v>
      </c>
      <c r="BJ3" s="59">
        <f>IF('Données projet'!E11&gt;30,$BH$33-$H$33,LOOKUP('Données projet'!$E$11,$A$3:$A$203,BH3:BH203)-LOOKUP('Données projet'!$E$11,$A$3:$A$203,$H$3:$H$203))</f>
        <v>302.59481222418219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170.48623198335619</v>
      </c>
      <c r="S4" s="59">
        <f ca="1">AVERAGE(OFFSET($R$3,0,0,'Données projet'!$E$9+1,1))-AVERAGE(OFFSET($H$3,0,0,'Données projet'!$E$9+1,1))</f>
        <v>737.40414421611001</v>
      </c>
      <c r="T4" s="59">
        <f>$T$3</f>
        <v>245.32893490531674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4.333333333333333</v>
      </c>
      <c r="AI4" s="13">
        <f>IF('Données projet'!$A$62&gt;35,AI3+AH4-AQ3,IF(A4&lt;'Données projet'!$A$62,$AF$205^A4,IF(A4='Données projet'!$A$62,'Données projet'!$B$62,AI3+AH4-AQ3)))</f>
        <v>1.3208724756526424</v>
      </c>
      <c r="AJ4" s="13">
        <f>AI4*VLOOKUP('Données projet'!$B$10,Paramètres!$A$1:$I$89,3,0)*VLOOKUP('Données projet'!$B$10,Paramètres!$A$1:$I$89,5,0)</f>
        <v>1.0508861416292423</v>
      </c>
      <c r="AK4" s="13">
        <f>EXP(-1.0587+0.8836*LN(AJ4)+0.284)</f>
        <v>0.48150261531866312</v>
      </c>
      <c r="AL4" s="20">
        <f t="shared" ref="AL4:AL67" si="4">(AJ4+AK4)*0.475*44/12</f>
        <v>2.6689104183509347</v>
      </c>
      <c r="AM4" s="59">
        <f t="shared" ref="AM4:AM67" si="5">AL4+(AD4+AE4)*44/12</f>
        <v>170.48134437127479</v>
      </c>
      <c r="AN4" s="59">
        <f ca="1">AVERAGE(OFFSET($AM$3,0,0,'Données projet'!$E$10+1,1))-AVERAGE(OFFSET($H$3,0,0,'Données projet'!$E$10+1,1))</f>
        <v>377.28055430105911</v>
      </c>
      <c r="AO4" s="59">
        <f>$AO$3</f>
        <v>364.58250627635425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170.35052583421262</v>
      </c>
      <c r="BI4" s="59">
        <f ca="1">AVERAGE(OFFSET($BH$3,0,0,'Données projet'!$E$11+1,1))-AVERAGE(OFFSET($H$3,0,0,'Données projet'!$E$11+1,1))</f>
        <v>308.85018589589453</v>
      </c>
      <c r="BJ4" s="59">
        <f>$BJ$3</f>
        <v>302.59481222418219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2.6666666666666665</v>
      </c>
      <c r="BY4" s="12">
        <f>IF('Données projet'!$A$114&gt;35,BY3+BX4-CG3,IF(A4&lt;'Données projet'!$A$114,$BV$205^A4,IF(A4='Données projet'!$A$114,'Données projet'!$B$114,BY3+BX4-CG3)))</f>
        <v>1.2788040393997409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2.3000055555555554</v>
      </c>
      <c r="CT4" s="12">
        <f>IF('Données projet'!$A$140&gt;35,CT3+CS4-DB3,IF(A4&lt;'Données projet'!$A$140,$CQ$205^A4,IF(A4='Données projet'!$A$140,'Données projet'!$B$140,CT3+CS4-DB3)))</f>
        <v>2.3000055555555554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173.6915903614638</v>
      </c>
      <c r="S5" s="59">
        <f ca="1">AVERAGE(OFFSET($R$3,0,0,'Données projet'!$E$9+1,1))-AVERAGE(OFFSET($H$3,0,0,'Données projet'!$E$9+1,1))</f>
        <v>737.40414421611001</v>
      </c>
      <c r="T5" s="59">
        <f t="shared" ref="T5:T68" si="34">$T$3</f>
        <v>245.32893490531674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4.333333333333333</v>
      </c>
      <c r="AI5" s="13">
        <f>IF('Données projet'!$A$62&gt;35,AI4+AH5-AQ4,IF(A5&lt;'Données projet'!$A$62,$AF$205^A5,IF(A5='Données projet'!$A$62,'Données projet'!$B$62,AI4+AH5-AQ4)))</f>
        <v>1.7447040969367404</v>
      </c>
      <c r="AJ5" s="13">
        <f>AI5*VLOOKUP('Données projet'!$B$10,Paramètres!$A$1:$I$89,3,0)*VLOOKUP('Données projet'!$B$10,Paramètres!$A$1:$I$89,5,0)</f>
        <v>1.3880865795228707</v>
      </c>
      <c r="AK5" s="13">
        <f t="shared" ref="AK5:AK68" si="35">EXP(-1.0587+0.8836*LN(AJ5)+0.284)</f>
        <v>0.61573144482258502</v>
      </c>
      <c r="AL5" s="20">
        <f t="shared" si="4"/>
        <v>3.4899830590683352</v>
      </c>
      <c r="AM5" s="59">
        <f t="shared" si="5"/>
        <v>174.08726434656916</v>
      </c>
      <c r="AN5" s="59">
        <f ca="1">AVERAGE(OFFSET($AM$3,0,0,'Données projet'!$E$10+1,1))-AVERAGE(OFFSET($H$3,0,0,'Données projet'!$E$10+1,1))</f>
        <v>377.28055430105911</v>
      </c>
      <c r="AO5" s="59">
        <f t="shared" ref="AO5:AO68" si="36">$AO$3</f>
        <v>364.58250627635425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173.81410309918456</v>
      </c>
      <c r="BI5" s="59">
        <f ca="1">AVERAGE(OFFSET($BH$3,0,0,'Données projet'!$E$11+1,1))-AVERAGE(OFFSET($H$3,0,0,'Données projet'!$E$11+1,1))</f>
        <v>308.85018589589453</v>
      </c>
      <c r="BJ5" s="59">
        <f t="shared" ref="BJ5:BJ68" si="38">$BJ$3</f>
        <v>302.59481222418219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2.6666666666666665</v>
      </c>
      <c r="BY5" s="12">
        <f>IF('Données projet'!$A$114&gt;35,BY4+BX5-CG4,IF(A5&lt;'Données projet'!$A$114,$BV$205^A5,IF(A5='Données projet'!$A$114,'Données projet'!$B$114,BY4+BX5-CG4)))</f>
        <v>1.6353397711850939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2.3000055555555554</v>
      </c>
      <c r="CT5" s="12">
        <f>IF('Données projet'!$A$140&gt;35,CT4+CS5-DB4,IF(A5&lt;'Données projet'!$A$140,$CQ$205^A5,IF(A5='Données projet'!$A$140,'Données projet'!$B$140,CT4+CS5-DB4)))</f>
        <v>4.6000111111111108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176.93621350384143</v>
      </c>
      <c r="S6" s="59">
        <f ca="1">AVERAGE(OFFSET($R$3,0,0,'Données projet'!$E$9+1,1))-AVERAGE(OFFSET($H$3,0,0,'Données projet'!$E$9+1,1))</f>
        <v>737.40414421611001</v>
      </c>
      <c r="T6" s="59">
        <f t="shared" si="34"/>
        <v>245.32893490531674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4.333333333333333</v>
      </c>
      <c r="AI6" s="13">
        <f>IF('Données projet'!$A$62&gt;35,AI5+AH6-AQ5,IF(A6&lt;'Données projet'!$A$62,$AF$205^A6,IF(A6='Données projet'!$A$62,'Données projet'!$B$62,AI5+AH6-AQ5)))</f>
        <v>2.3045316198021402</v>
      </c>
      <c r="AJ6" s="13">
        <f>AI6*VLOOKUP('Données projet'!$B$10,Paramètres!$A$1:$I$89,3,0)*VLOOKUP('Données projet'!$B$10,Paramètres!$A$1:$I$89,5,0)</f>
        <v>1.833485356714583</v>
      </c>
      <c r="AK6" s="13">
        <f t="shared" si="35"/>
        <v>0.78737934142351296</v>
      </c>
      <c r="AL6" s="20">
        <f t="shared" si="4"/>
        <v>4.5646726825905164</v>
      </c>
      <c r="AM6" s="59">
        <f t="shared" si="5"/>
        <v>177.91969325247541</v>
      </c>
      <c r="AN6" s="59">
        <f ca="1">AVERAGE(OFFSET($AM$3,0,0,'Données projet'!$E$10+1,1))-AVERAGE(OFFSET($H$3,0,0,'Données projet'!$E$10+1,1))</f>
        <v>377.28055430105911</v>
      </c>
      <c r="AO6" s="59">
        <f t="shared" si="36"/>
        <v>364.58250627635425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177.43279037341409</v>
      </c>
      <c r="BI6" s="59">
        <f ca="1">AVERAGE(OFFSET($BH$3,0,0,'Données projet'!$E$11+1,1))-AVERAGE(OFFSET($H$3,0,0,'Données projet'!$E$11+1,1))</f>
        <v>308.85018589589453</v>
      </c>
      <c r="BJ6" s="59">
        <f t="shared" si="38"/>
        <v>302.59481222418219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2.6666666666666665</v>
      </c>
      <c r="BY6" s="12">
        <f>IF('Données projet'!$A$114&gt;35,BY5+BX6-CG5,IF(A6&lt;'Données projet'!$A$114,$BV$205^A6,IF(A6='Données projet'!$A$114,'Données projet'!$B$114,BY5+BX6-CG5)))</f>
        <v>2.0912791051825459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2.3000055555555554</v>
      </c>
      <c r="CT6" s="12">
        <f>IF('Données projet'!$A$140&gt;35,CT5+CS6-DB5,IF(A6&lt;'Données projet'!$A$140,$CQ$205^A6,IF(A6='Données projet'!$A$140,'Données projet'!$B$140,CT5+CS6-DB5)))</f>
        <v>6.9000166666666658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180.2310834426938</v>
      </c>
      <c r="S7" s="59">
        <f ca="1">AVERAGE(OFFSET($R$3,0,0,'Données projet'!$E$9+1,1))-AVERAGE(OFFSET($H$3,0,0,'Données projet'!$E$9+1,1))</f>
        <v>737.40414421611001</v>
      </c>
      <c r="T7" s="59">
        <f t="shared" si="34"/>
        <v>245.32893490531674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4.333333333333333</v>
      </c>
      <c r="AI7" s="13">
        <f>IF('Données projet'!$A$62&gt;35,AI6+AH7-AQ6,IF(A7&lt;'Données projet'!$A$62,$AF$205^A7,IF(A7='Données projet'!$A$62,'Données projet'!$B$62,AI6+AH7-AQ6)))</f>
        <v>3.0439923858678468</v>
      </c>
      <c r="AJ7" s="13">
        <f>AI7*VLOOKUP('Données projet'!$B$10,Paramètres!$A$1:$I$89,3,0)*VLOOKUP('Données projet'!$B$10,Paramètres!$A$1:$I$89,5,0)</f>
        <v>2.4218003421964593</v>
      </c>
      <c r="AK7" s="13">
        <f t="shared" si="35"/>
        <v>1.0068776453006392</v>
      </c>
      <c r="AL7" s="20">
        <f t="shared" si="4"/>
        <v>5.9716141615574472</v>
      </c>
      <c r="AM7" s="59">
        <f t="shared" si="5"/>
        <v>182.0577362257344</v>
      </c>
      <c r="AN7" s="59">
        <f ca="1">AVERAGE(OFFSET($AM$3,0,0,'Données projet'!$E$10+1,1))-AVERAGE(OFFSET($H$3,0,0,'Données projet'!$E$10+1,1))</f>
        <v>377.28055430105911</v>
      </c>
      <c r="AO7" s="59">
        <f t="shared" si="36"/>
        <v>364.58250627635425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181.25615849813238</v>
      </c>
      <c r="BI7" s="59">
        <f ca="1">AVERAGE(OFFSET($BH$3,0,0,'Données projet'!$E$11+1,1))-AVERAGE(OFFSET($H$3,0,0,'Données projet'!$E$11+1,1))</f>
        <v>308.85018589589453</v>
      </c>
      <c r="BJ7" s="59">
        <f t="shared" si="38"/>
        <v>302.59481222418219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2.6666666666666665</v>
      </c>
      <c r="BY7" s="12">
        <f>IF('Données projet'!$A$114&gt;35,BY6+BX7-CG6,IF(A7&lt;'Données projet'!$A$114,$BV$205^A7,IF(A7='Données projet'!$A$114,'Données projet'!$B$114,BY6+BX7-CG6)))</f>
        <v>2.6743361672197152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2.3000055555555554</v>
      </c>
      <c r="CT7" s="12">
        <f>IF('Données projet'!$A$140&gt;35,CT6+CS7-DB6,IF(A7&lt;'Données projet'!$A$140,$CQ$205^A7,IF(A7='Données projet'!$A$140,'Données projet'!$B$140,CT6+CS7-DB6)))</f>
        <v>9.2000222222222217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183.5888441372831</v>
      </c>
      <c r="S8" s="59">
        <f ca="1">AVERAGE(OFFSET($R$3,0,0,'Données projet'!$E$9+1,1))-AVERAGE(OFFSET($H$3,0,0,'Données projet'!$E$9+1,1))</f>
        <v>737.40414421611001</v>
      </c>
      <c r="T8" s="59">
        <f t="shared" si="34"/>
        <v>245.32893490531674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4.333333333333333</v>
      </c>
      <c r="AI8" s="13">
        <f>IF('Données projet'!$A$62&gt;35,AI7+AH8-AQ7,IF(A8&lt;'Données projet'!$A$62,$AF$205^A8,IF(A8='Données projet'!$A$62,'Données projet'!$B$62,AI7+AH8-AQ7)))</f>
        <v>4.0207257585890561</v>
      </c>
      <c r="AJ8" s="13">
        <f>AI8*VLOOKUP('Données projet'!$B$10,Paramètres!$A$1:$I$89,3,0)*VLOOKUP('Données projet'!$B$10,Paramètres!$A$1:$I$89,5,0)</f>
        <v>3.1988894135334531</v>
      </c>
      <c r="AK8" s="13">
        <f t="shared" si="35"/>
        <v>1.2875656488183871</v>
      </c>
      <c r="AL8" s="20">
        <f t="shared" si="4"/>
        <v>7.8139092335961218</v>
      </c>
      <c r="AM8" s="59">
        <f t="shared" si="5"/>
        <v>186.60495711004347</v>
      </c>
      <c r="AN8" s="59">
        <f ca="1">AVERAGE(OFFSET($AM$3,0,0,'Données projet'!$E$10+1,1))-AVERAGE(OFFSET($H$3,0,0,'Données projet'!$E$10+1,1))</f>
        <v>377.28055430105911</v>
      </c>
      <c r="AO8" s="59">
        <f t="shared" si="36"/>
        <v>364.58250627635425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185.3470463579701</v>
      </c>
      <c r="BI8" s="59">
        <f ca="1">AVERAGE(OFFSET($BH$3,0,0,'Données projet'!$E$11+1,1))-AVERAGE(OFFSET($H$3,0,0,'Données projet'!$E$11+1,1))</f>
        <v>308.85018589589453</v>
      </c>
      <c r="BJ8" s="59">
        <f t="shared" si="38"/>
        <v>302.59481222418219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2.6666666666666665</v>
      </c>
      <c r="BY8" s="12">
        <f>IF('Données projet'!$A$114&gt;35,BY7+BX8-CG7,IF(A8&lt;'Données projet'!$A$114,$BV$205^A8,IF(A8='Données projet'!$A$114,'Données projet'!$B$114,BY7+BX8-CG7)))</f>
        <v>3.4199518933533928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2.3000055555555554</v>
      </c>
      <c r="CT8" s="12">
        <f>IF('Données projet'!$A$140&gt;35,CT7+CS8-DB7,IF(A8&lt;'Données projet'!$A$140,$CQ$205^A8,IF(A8='Données projet'!$A$140,'Données projet'!$B$140,CT7+CS8-DB7)))</f>
        <v>11.500027777777778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187.02406773782226</v>
      </c>
      <c r="S9" s="59">
        <f ca="1">AVERAGE(OFFSET($R$3,0,0,'Données projet'!$E$9+1,1))-AVERAGE(OFFSET($H$3,0,0,'Données projet'!$E$9+1,1))</f>
        <v>737.40414421611001</v>
      </c>
      <c r="T9" s="59">
        <f t="shared" si="34"/>
        <v>245.32893490531674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4.333333333333333</v>
      </c>
      <c r="AI9" s="13">
        <f>IF('Données projet'!$A$62&gt;35,AI8+AH9-AQ8,IF(A9&lt;'Données projet'!$A$62,$AF$205^A9,IF(A9='Données projet'!$A$62,'Données projet'!$B$62,AI8+AH9-AQ8)))</f>
        <v>5.310865986667876</v>
      </c>
      <c r="AJ9" s="13">
        <f>AI9*VLOOKUP('Données projet'!$B$10,Paramètres!$A$1:$I$89,3,0)*VLOOKUP('Données projet'!$B$10,Paramètres!$A$1:$I$89,5,0)</f>
        <v>4.2253249789929628</v>
      </c>
      <c r="AK9" s="13">
        <f t="shared" si="35"/>
        <v>1.6465012484432624</v>
      </c>
      <c r="AL9" s="20">
        <f t="shared" si="4"/>
        <v>10.226764012784757</v>
      </c>
      <c r="AM9" s="59">
        <f t="shared" si="5"/>
        <v>191.69701610904374</v>
      </c>
      <c r="AN9" s="59">
        <f ca="1">AVERAGE(OFFSET($AM$3,0,0,'Données projet'!$E$10+1,1))-AVERAGE(OFFSET($H$3,0,0,'Données projet'!$E$10+1,1))</f>
        <v>377.28055430105911</v>
      </c>
      <c r="AO9" s="59">
        <f t="shared" si="36"/>
        <v>364.58250627635425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189.78516218149196</v>
      </c>
      <c r="BI9" s="59">
        <f ca="1">AVERAGE(OFFSET($BH$3,0,0,'Données projet'!$E$11+1,1))-AVERAGE(OFFSET($H$3,0,0,'Données projet'!$E$11+1,1))</f>
        <v>308.85018589589453</v>
      </c>
      <c r="BJ9" s="59">
        <f t="shared" si="38"/>
        <v>302.59481222418219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2.6666666666666665</v>
      </c>
      <c r="BY9" s="12">
        <f>IF('Données projet'!$A$114&gt;35,BY8+BX9-CG8,IF(A9&lt;'Données projet'!$A$114,$BV$205^A9,IF(A9='Données projet'!$A$114,'Données projet'!$B$114,BY8+BX9-CG8)))</f>
        <v>4.3734482957731098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2.3000055555555554</v>
      </c>
      <c r="CT9" s="12">
        <f>IF('Données projet'!$A$140&gt;35,CT8+CS9-DB8,IF(A9&lt;'Données projet'!$A$140,$CQ$205^A9,IF(A9='Données projet'!$A$140,'Données projet'!$B$140,CT8+CS9-DB8)))</f>
        <v>13.800033333333333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190.55356336822675</v>
      </c>
      <c r="S10" s="59">
        <f ca="1">AVERAGE(OFFSET($R$3,0,0,'Données projet'!$E$9+1,1))-AVERAGE(OFFSET($H$3,0,0,'Données projet'!$E$9+1,1))</f>
        <v>737.40414421611001</v>
      </c>
      <c r="T10" s="59">
        <f t="shared" si="34"/>
        <v>245.32893490531674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4.333333333333333</v>
      </c>
      <c r="AI10" s="13">
        <f>IF('Données projet'!$A$62&gt;35,AI9+AH10-AQ9,IF(A10&lt;'Données projet'!$A$62,$AF$205^A10,IF(A10='Données projet'!$A$62,'Données projet'!$B$62,AI9+AH10-AQ9)))</f>
        <v>7.0149767036694106</v>
      </c>
      <c r="AJ10" s="13">
        <f>AI10*VLOOKUP('Données projet'!$B$10,Paramètres!$A$1:$I$89,3,0)*VLOOKUP('Données projet'!$B$10,Paramètres!$A$1:$I$89,5,0)</f>
        <v>5.5811154654393826</v>
      </c>
      <c r="AK10" s="13">
        <f t="shared" si="35"/>
        <v>2.1054975826771263</v>
      </c>
      <c r="AL10" s="20">
        <f t="shared" si="4"/>
        <v>13.387517725469587</v>
      </c>
      <c r="AM10" s="59">
        <f t="shared" si="5"/>
        <v>197.51169866120583</v>
      </c>
      <c r="AN10" s="59">
        <f ca="1">AVERAGE(OFFSET($AM$3,0,0,'Données projet'!$E$10+1,1))-AVERAGE(OFFSET($H$3,0,0,'Données projet'!$E$10+1,1))</f>
        <v>377.28055430105911</v>
      </c>
      <c r="AO10" s="59">
        <f t="shared" si="36"/>
        <v>364.58250627635425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194.67166451260897</v>
      </c>
      <c r="BI10" s="59">
        <f ca="1">AVERAGE(OFFSET($BH$3,0,0,'Données projet'!$E$11+1,1))-AVERAGE(OFFSET($H$3,0,0,'Données projet'!$E$11+1,1))</f>
        <v>308.85018589589453</v>
      </c>
      <c r="BJ10" s="59">
        <f t="shared" si="38"/>
        <v>302.59481222418219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2.6666666666666665</v>
      </c>
      <c r="BY10" s="12">
        <f>IF('Données projet'!$A$114&gt;35,BY9+BX10-CG9,IF(A10&lt;'Données projet'!$A$114,$BV$205^A10,IF(A10='Données projet'!$A$114,'Données projet'!$B$114,BY9+BX10-CG9)))</f>
        <v>5.5927833467405659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2.3000055555555554</v>
      </c>
      <c r="CT10" s="12">
        <f>IF('Données projet'!$A$140&gt;35,CT9+CS10-DB9,IF(A10&lt;'Données projet'!$A$140,$CQ$205^A10,IF(A10='Données projet'!$A$140,'Données projet'!$B$140,CT9+CS10-DB9)))</f>
        <v>16.100038888888889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194.19673523888554</v>
      </c>
      <c r="S11" s="59">
        <f ca="1">AVERAGE(OFFSET($R$3,0,0,'Données projet'!$E$9+1,1))-AVERAGE(OFFSET($H$3,0,0,'Données projet'!$E$9+1,1))</f>
        <v>737.40414421611001</v>
      </c>
      <c r="T11" s="59">
        <f t="shared" si="34"/>
        <v>245.32893490531674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4.333333333333333</v>
      </c>
      <c r="AI11" s="13">
        <f>IF('Données projet'!$A$62&gt;35,AI10+AH11-AQ10,IF(A11&lt;'Données projet'!$A$62,$AF$205^A11,IF(A11='Données projet'!$A$62,'Données projet'!$B$62,AI10+AH11-AQ10)))</f>
        <v>9.2658896452214261</v>
      </c>
      <c r="AJ11" s="13">
        <f>AI11*VLOOKUP('Données projet'!$B$10,Paramètres!$A$1:$I$89,3,0)*VLOOKUP('Données projet'!$B$10,Paramètres!$A$1:$I$89,5,0)</f>
        <v>7.3719418017381662</v>
      </c>
      <c r="AK11" s="13">
        <f t="shared" si="35"/>
        <v>2.6924486542908248</v>
      </c>
      <c r="AL11" s="20">
        <f t="shared" si="4"/>
        <v>17.528813377583827</v>
      </c>
      <c r="AM11" s="59">
        <f t="shared" si="5"/>
        <v>204.28208624380437</v>
      </c>
      <c r="AN11" s="59">
        <f ca="1">AVERAGE(OFFSET($AM$3,0,0,'Données projet'!$E$10+1,1))-AVERAGE(OFFSET($H$3,0,0,'Données projet'!$E$10+1,1))</f>
        <v>377.28055430105911</v>
      </c>
      <c r="AO11" s="59">
        <f t="shared" si="36"/>
        <v>364.58250627635425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200.13499008101996</v>
      </c>
      <c r="BI11" s="59">
        <f ca="1">AVERAGE(OFFSET($BH$3,0,0,'Données projet'!$E$11+1,1))-AVERAGE(OFFSET($H$3,0,0,'Données projet'!$E$11+1,1))</f>
        <v>308.85018589589453</v>
      </c>
      <c r="BJ11" s="59">
        <f t="shared" si="38"/>
        <v>302.59481222418219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2.6666666666666665</v>
      </c>
      <c r="BY11" s="12">
        <f>IF('Données projet'!$A$114&gt;35,BY10+BX11-CG10,IF(A11&lt;'Données projet'!$A$114,$BV$205^A11,IF(A11='Données projet'!$A$114,'Données projet'!$B$114,BY10+BX11-CG10)))</f>
        <v>7.1520739352994367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2.3000055555555554</v>
      </c>
      <c r="CT11" s="12">
        <f>IF('Données projet'!$A$140&gt;35,CT10+CS11-DB10,IF(A11&lt;'Données projet'!$A$140,$CQ$205^A11,IF(A11='Données projet'!$A$140,'Données projet'!$B$140,CT10+CS11-DB10)))</f>
        <v>18.400044444444443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197.97599799412612</v>
      </c>
      <c r="S12" s="59">
        <f ca="1">AVERAGE(OFFSET($R$3,0,0,'Données projet'!$E$9+1,1))-AVERAGE(OFFSET($H$3,0,0,'Données projet'!$E$9+1,1))</f>
        <v>737.40414421611001</v>
      </c>
      <c r="T12" s="59">
        <f t="shared" si="34"/>
        <v>245.32893490531674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4.333333333333333</v>
      </c>
      <c r="AI12" s="13">
        <f>IF('Données projet'!$A$62&gt;35,AI11+AH12-AQ11,IF(A12&lt;'Données projet'!$A$62,$AF$205^A12,IF(A12='Données projet'!$A$62,'Données projet'!$B$62,AI11+AH12-AQ11)))</f>
        <v>12.23905859480781</v>
      </c>
      <c r="AJ12" s="13">
        <f>AI12*VLOOKUP('Données projet'!$B$10,Paramètres!$A$1:$I$89,3,0)*VLOOKUP('Données projet'!$B$10,Paramètres!$A$1:$I$89,5,0)</f>
        <v>9.737395018029094</v>
      </c>
      <c r="AK12" s="13">
        <f t="shared" si="35"/>
        <v>3.4430244972188757</v>
      </c>
      <c r="AL12" s="20">
        <f t="shared" si="4"/>
        <v>22.955897322390214</v>
      </c>
      <c r="AM12" s="59">
        <f t="shared" si="5"/>
        <v>212.31385607494627</v>
      </c>
      <c r="AN12" s="59">
        <f ca="1">AVERAGE(OFFSET($AM$3,0,0,'Données projet'!$E$10+1,1))-AVERAGE(OFFSET($H$3,0,0,'Données projet'!$E$10+1,1))</f>
        <v>377.28055430105911</v>
      </c>
      <c r="AO12" s="59">
        <f t="shared" si="36"/>
        <v>364.58250627635425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206.33826886995783</v>
      </c>
      <c r="BI12" s="59">
        <f ca="1">AVERAGE(OFFSET($BH$3,0,0,'Données projet'!$E$11+1,1))-AVERAGE(OFFSET($H$3,0,0,'Données projet'!$E$11+1,1))</f>
        <v>308.85018589589453</v>
      </c>
      <c r="BJ12" s="59">
        <f t="shared" si="38"/>
        <v>302.59481222418219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2.6666666666666665</v>
      </c>
      <c r="BY12" s="12">
        <f>IF('Données projet'!$A$114&gt;35,BY11+BX12-CG11,IF(A12&lt;'Données projet'!$A$114,$BV$205^A12,IF(A12='Données projet'!$A$114,'Données projet'!$B$114,BY11+BX12-CG11)))</f>
        <v>9.1461010385465205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2.3000055555555554</v>
      </c>
      <c r="CT12" s="12">
        <f>IF('Données projet'!$A$140&gt;35,CT11+CS12-DB11,IF(A12&lt;'Données projet'!$A$140,$CQ$205^A12,IF(A12='Données projet'!$A$140,'Données projet'!$B$140,CT11+CS12-DB11)))</f>
        <v>20.700049999999997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201.91725846848402</v>
      </c>
      <c r="S13" s="59">
        <f ca="1">AVERAGE(OFFSET($R$3,0,0,'Données projet'!$E$9+1,1))-AVERAGE(OFFSET($H$3,0,0,'Données projet'!$E$9+1,1))</f>
        <v>737.40414421611001</v>
      </c>
      <c r="T13" s="59">
        <f t="shared" si="34"/>
        <v>245.32893490531674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4.333333333333333</v>
      </c>
      <c r="AI13" s="13">
        <f>IF('Données projet'!$A$62&gt;35,AI12+AH13-AQ12,IF(A13&lt;'Données projet'!$A$62,$AF$205^A13,IF(A13='Données projet'!$A$62,'Données projet'!$B$62,AI12+AH13-AQ12)))</f>
        <v>16.166235625781542</v>
      </c>
      <c r="AJ13" s="13">
        <f>AI13*VLOOKUP('Données projet'!$B$10,Paramètres!$A$1:$I$89,3,0)*VLOOKUP('Données projet'!$B$10,Paramètres!$A$1:$I$89,5,0)</f>
        <v>12.861857063871796</v>
      </c>
      <c r="AK13" s="13">
        <f t="shared" si="35"/>
        <v>4.4028389063455258</v>
      </c>
      <c r="AL13" s="20">
        <f t="shared" si="4"/>
        <v>30.069345481461834</v>
      </c>
      <c r="AM13" s="59">
        <f t="shared" si="5"/>
        <v>222.00800746650671</v>
      </c>
      <c r="AN13" s="59">
        <f ca="1">AVERAGE(OFFSET($AM$3,0,0,'Données projet'!$E$10+1,1))-AVERAGE(OFFSET($H$3,0,0,'Données projet'!$E$10+1,1))</f>
        <v>377.28055430105911</v>
      </c>
      <c r="AO13" s="59">
        <f t="shared" si="36"/>
        <v>364.58250627635425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213.48875977378654</v>
      </c>
      <c r="BI13" s="59">
        <f ca="1">AVERAGE(OFFSET($BH$3,0,0,'Données projet'!$E$11+1,1))-AVERAGE(OFFSET($H$3,0,0,'Données projet'!$E$11+1,1))</f>
        <v>308.85018589589453</v>
      </c>
      <c r="BJ13" s="59">
        <f t="shared" si="38"/>
        <v>302.59481222418219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2.6666666666666665</v>
      </c>
      <c r="BY13" s="12">
        <f>IF('Données projet'!$A$114&gt;35,BY12+BX13-CG12,IF(A13&lt;'Données projet'!$A$114,$BV$205^A13,IF(A13='Données projet'!$A$114,'Données projet'!$B$114,BY12+BX13-CG12)))</f>
        <v>11.696070952851455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2.3000055555555554</v>
      </c>
      <c r="CT13" s="12">
        <f>IF('Données projet'!$A$140&gt;35,CT12+CS13-DB12,IF(A13&lt;'Données projet'!$A$140,$CQ$205^A13,IF(A13='Données projet'!$A$140,'Données projet'!$B$140,CT12+CS13-DB12)))</f>
        <v>23.000055555555551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206.05047449961361</v>
      </c>
      <c r="S14" s="59">
        <f ca="1">AVERAGE(OFFSET($R$3,0,0,'Données projet'!$E$9+1,1))-AVERAGE(OFFSET($H$3,0,0,'Données projet'!$E$9+1,1))</f>
        <v>737.40414421611001</v>
      </c>
      <c r="T14" s="59">
        <f t="shared" si="34"/>
        <v>245.32893490531674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4.333333333333333</v>
      </c>
      <c r="AI14" s="13">
        <f>IF('Données projet'!$A$62&gt;35,AI13+AH14-AQ13,IF(A14&lt;'Données projet'!$A$62,$AF$205^A14,IF(A14='Données projet'!$A$62,'Données projet'!$B$62,AI13+AH14-AQ13)))</f>
        <v>21.353535673010011</v>
      </c>
      <c r="AJ14" s="13">
        <f>AI14*VLOOKUP('Données projet'!$B$10,Paramètres!$A$1:$I$89,3,0)*VLOOKUP('Données projet'!$B$10,Paramètres!$A$1:$I$89,5,0)</f>
        <v>16.988872981446764</v>
      </c>
      <c r="AK14" s="13">
        <f t="shared" si="35"/>
        <v>5.6302214668783828</v>
      </c>
      <c r="AL14" s="20">
        <f t="shared" si="4"/>
        <v>39.394922830832961</v>
      </c>
      <c r="AM14" s="59">
        <f t="shared" si="5"/>
        <v>233.8907214399471</v>
      </c>
      <c r="AN14" s="59">
        <f ca="1">AVERAGE(OFFSET($AM$3,0,0,'Données projet'!$E$10+1,1))-AVERAGE(OFFSET($H$3,0,0,'Données projet'!$E$10+1,1))</f>
        <v>377.28055430105911</v>
      </c>
      <c r="AO14" s="59">
        <f t="shared" si="36"/>
        <v>364.58250627635425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221.84985885474788</v>
      </c>
      <c r="BI14" s="59">
        <f ca="1">AVERAGE(OFFSET($BH$3,0,0,'Données projet'!$E$11+1,1))-AVERAGE(OFFSET($H$3,0,0,'Données projet'!$E$11+1,1))</f>
        <v>308.85018589589453</v>
      </c>
      <c r="BJ14" s="59">
        <f t="shared" si="38"/>
        <v>302.59481222418219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2.6666666666666665</v>
      </c>
      <c r="BY14" s="12">
        <f>IF('Données projet'!$A$114&gt;35,BY13+BX14-CG13,IF(A14&lt;'Données projet'!$A$114,$BV$205^A14,IF(A14='Données projet'!$A$114,'Données projet'!$B$114,BY13+BX14-CG13)))</f>
        <v>14.956982779612416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2.3000055555555554</v>
      </c>
      <c r="CT14" s="12">
        <f>IF('Données projet'!$A$140&gt;35,CT13+CS14-DB13,IF(A14&lt;'Données projet'!$A$140,$CQ$205^A14,IF(A14='Données projet'!$A$140,'Données projet'!$B$140,CT13+CS14-DB13)))</f>
        <v>25.300061111111106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210.41030315661675</v>
      </c>
      <c r="S15" s="59">
        <f ca="1">AVERAGE(OFFSET($R$3,0,0,'Données projet'!$E$9+1,1))-AVERAGE(OFFSET($H$3,0,0,'Données projet'!$E$9+1,1))</f>
        <v>737.40414421611001</v>
      </c>
      <c r="T15" s="59">
        <f t="shared" si="34"/>
        <v>245.32893490531674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4.333333333333333</v>
      </c>
      <c r="AI15" s="13">
        <f>IF('Données projet'!$A$62&gt;35,AI14+AH15-AQ14,IF(A15&lt;'Données projet'!$A$62,$AF$205^A15,IF(A15='Données projet'!$A$62,'Données projet'!$B$62,AI14+AH15-AQ14)))</f>
        <v>28.205297528345746</v>
      </c>
      <c r="AJ15" s="13">
        <f>AI15*VLOOKUP('Données projet'!$B$10,Paramètres!$A$1:$I$89,3,0)*VLOOKUP('Données projet'!$B$10,Paramètres!$A$1:$I$89,5,0)</f>
        <v>22.440134713551878</v>
      </c>
      <c r="AK15" s="13">
        <f t="shared" si="35"/>
        <v>7.1997623443392129</v>
      </c>
      <c r="AL15" s="20">
        <f t="shared" si="4"/>
        <v>51.622820709160315</v>
      </c>
      <c r="AM15" s="59">
        <f t="shared" si="5"/>
        <v>248.6525981618932</v>
      </c>
      <c r="AN15" s="59">
        <f ca="1">AVERAGE(OFFSET($AM$3,0,0,'Données projet'!$E$10+1,1))-AVERAGE(OFFSET($H$3,0,0,'Données projet'!$E$10+1,1))</f>
        <v>377.28055430105911</v>
      </c>
      <c r="AO15" s="59">
        <f t="shared" si="36"/>
        <v>364.58250627635425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231.75638335816086</v>
      </c>
      <c r="BI15" s="59">
        <f ca="1">AVERAGE(OFFSET($BH$3,0,0,'Données projet'!$E$11+1,1))-AVERAGE(OFFSET($H$3,0,0,'Données projet'!$E$11+1,1))</f>
        <v>308.85018589589453</v>
      </c>
      <c r="BJ15" s="59">
        <f t="shared" si="38"/>
        <v>302.59481222418219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2.6666666666666665</v>
      </c>
      <c r="BY15" s="12">
        <f>IF('Données projet'!$A$114&gt;35,BY14+BX15-CG14,IF(A15&lt;'Données projet'!$A$114,$BV$205^A15,IF(A15='Données projet'!$A$114,'Données projet'!$B$114,BY14+BX15-CG14)))</f>
        <v>19.127049995800721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2.3000055555555554</v>
      </c>
      <c r="CT15" s="12">
        <f>IF('Données projet'!$A$140&gt;35,CT14+CS15-DB14,IF(A15&lt;'Données projet'!$A$140,$CQ$205^A15,IF(A15='Données projet'!$A$140,'Données projet'!$B$140,CT14+CS15-DB14)))</f>
        <v>27.60006666666666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215.036852728985</v>
      </c>
      <c r="S16" s="59">
        <f ca="1">AVERAGE(OFFSET($R$3,0,0,'Données projet'!$E$9+1,1))-AVERAGE(OFFSET($H$3,0,0,'Données projet'!$E$9+1,1))</f>
        <v>737.40414421611001</v>
      </c>
      <c r="T16" s="59">
        <f t="shared" si="34"/>
        <v>245.32893490531674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4.333333333333333</v>
      </c>
      <c r="AI16" s="13">
        <f>IF('Données projet'!$A$62&gt;35,AI15+AH16-AQ15,IF(A16&lt;'Données projet'!$A$62,$AF$205^A16,IF(A16='Données projet'!$A$62,'Données projet'!$B$62,AI15+AH16-AQ15)))</f>
        <v>37.255601172785397</v>
      </c>
      <c r="AJ16" s="13">
        <f>AI16*VLOOKUP('Données projet'!$B$10,Paramètres!$A$1:$I$89,3,0)*VLOOKUP('Données projet'!$B$10,Paramètres!$A$1:$I$89,5,0)</f>
        <v>29.640556293068066</v>
      </c>
      <c r="AK16" s="13">
        <f t="shared" si="35"/>
        <v>9.2068452582035114</v>
      </c>
      <c r="AL16" s="20">
        <f t="shared" si="4"/>
        <v>67.659224368464649</v>
      </c>
      <c r="AM16" s="59">
        <f t="shared" si="5"/>
        <v>267.20022462008347</v>
      </c>
      <c r="AN16" s="59">
        <f ca="1">AVERAGE(OFFSET($AM$3,0,0,'Données projet'!$E$10+1,1))-AVERAGE(OFFSET($H$3,0,0,'Données projet'!$E$10+1,1))</f>
        <v>377.28055430105911</v>
      </c>
      <c r="AO16" s="59">
        <f t="shared" si="36"/>
        <v>364.58250627635425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243.63402726856214</v>
      </c>
      <c r="BI16" s="59">
        <f ca="1">AVERAGE(OFFSET($BH$3,0,0,'Données projet'!$E$11+1,1))-AVERAGE(OFFSET($H$3,0,0,'Données projet'!$E$11+1,1))</f>
        <v>308.85018589589453</v>
      </c>
      <c r="BJ16" s="59">
        <f t="shared" si="38"/>
        <v>302.59481222418219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2.6666666666666665</v>
      </c>
      <c r="BY16" s="12">
        <f>IF('Données projet'!$A$114&gt;35,BY15+BX16-CG15,IF(A16&lt;'Données projet'!$A$114,$BV$205^A16,IF(A16='Données projet'!$A$114,'Données projet'!$B$114,BY15+BX16-CG15)))</f>
        <v>24.459748796430759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2.3000055555555554</v>
      </c>
      <c r="CT16" s="12">
        <f>IF('Données projet'!$A$140&gt;35,CT15+CS16-DB15,IF(A16&lt;'Données projet'!$A$140,$CQ$205^A16,IF(A16='Données projet'!$A$140,'Données projet'!$B$140,CT15+CS16-DB15)))</f>
        <v>29.900072222222214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219.97655512767665</v>
      </c>
      <c r="S17" s="59">
        <f ca="1">AVERAGE(OFFSET($R$3,0,0,'Données projet'!$E$9+1,1))-AVERAGE(OFFSET($H$3,0,0,'Données projet'!$E$9+1,1))</f>
        <v>737.40414421611001</v>
      </c>
      <c r="T17" s="59">
        <f t="shared" si="34"/>
        <v>245.32893490531674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4.333333333333333</v>
      </c>
      <c r="AI17" s="13">
        <f>IF('Données projet'!$A$62&gt;35,AI16+AH17-AQ16,IF(A17&lt;'Données projet'!$A$62,$AF$205^A17,IF(A17='Données projet'!$A$62,'Données projet'!$B$62,AI16+AH17-AQ16)))</f>
        <v>49.209898153024547</v>
      </c>
      <c r="AJ17" s="13">
        <f>AI17*VLOOKUP('Données projet'!$B$10,Paramètres!$A$1:$I$89,3,0)*VLOOKUP('Données projet'!$B$10,Paramètres!$A$1:$I$89,5,0)</f>
        <v>39.151394970546335</v>
      </c>
      <c r="AK17" s="13">
        <f t="shared" si="35"/>
        <v>11.773444115853561</v>
      </c>
      <c r="AL17" s="20">
        <f t="shared" si="4"/>
        <v>88.69409474214649</v>
      </c>
      <c r="AM17" s="59">
        <f t="shared" si="5"/>
        <v>290.72395651441968</v>
      </c>
      <c r="AN17" s="59">
        <f ca="1">AVERAGE(OFFSET($AM$3,0,0,'Données projet'!$E$10+1,1))-AVERAGE(OFFSET($H$3,0,0,'Données projet'!$E$10+1,1))</f>
        <v>377.28055430105911</v>
      </c>
      <c r="AO17" s="59">
        <f t="shared" si="36"/>
        <v>364.58250627635425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258.02412968638174</v>
      </c>
      <c r="BI17" s="59">
        <f ca="1">AVERAGE(OFFSET($BH$3,0,0,'Données projet'!$E$11+1,1))-AVERAGE(OFFSET($H$3,0,0,'Données projet'!$E$11+1,1))</f>
        <v>308.85018589589453</v>
      </c>
      <c r="BJ17" s="59">
        <f t="shared" si="38"/>
        <v>302.59481222418219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2.6666666666666665</v>
      </c>
      <c r="BY17" s="12">
        <f>IF('Données projet'!$A$114&gt;35,BY16+BX17-CG16,IF(A17&lt;'Données projet'!$A$114,$BV$205^A17,IF(A17='Données projet'!$A$114,'Données projet'!$B$114,BY16+BX17-CG16)))</f>
        <v>31.279225563578599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2.3000055555555554</v>
      </c>
      <c r="CT17" s="12">
        <f>IF('Données projet'!$A$140&gt;35,CT16+CS17-DB16,IF(A17&lt;'Données projet'!$A$140,$CQ$205^A17,IF(A17='Données projet'!$A$140,'Données projet'!$B$140,CT16+CS17-DB16)))</f>
        <v>32.200077777777771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225.28317802769584</v>
      </c>
      <c r="S18" s="59">
        <f ca="1">AVERAGE(OFFSET($R$3,0,0,'Données projet'!$E$9+1,1))-AVERAGE(OFFSET($H$3,0,0,'Données projet'!$E$9+1,1))</f>
        <v>737.40414421611001</v>
      </c>
      <c r="T18" s="59">
        <f t="shared" si="34"/>
        <v>245.32893490531674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65</v>
      </c>
      <c r="AG18" s="12">
        <f>VLOOKUP(A18,'Données projet'!$A$61:$I$81,9,0)</f>
        <v>4.333333333333333</v>
      </c>
      <c r="AH18" s="12">
        <f t="array" ref="AH18">INDEX(AG:AG,MIN(IF(ISNUMBER(AG18:AG214),ROW(AG18:AG214),"")))</f>
        <v>4.333333333333333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51.713999999999999</v>
      </c>
      <c r="AK18" s="13">
        <f t="shared" si="35"/>
        <v>15.055535578337075</v>
      </c>
      <c r="AL18" s="20">
        <f t="shared" si="4"/>
        <v>116.29027446560372</v>
      </c>
      <c r="AM18" s="59">
        <f t="shared" si="5"/>
        <v>320.78702439848473</v>
      </c>
      <c r="AN18" s="59">
        <f ca="1">AVERAGE(OFFSET($AM$3,0,0,'Données projet'!$E$10+1,1))-AVERAGE(OFFSET($H$3,0,0,'Données projet'!$E$10+1,1))</f>
        <v>377.28055430105911</v>
      </c>
      <c r="AO18" s="59">
        <f t="shared" si="36"/>
        <v>364.58250627635425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0.13250000000000001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3.7144488588845932</v>
      </c>
      <c r="AW18" s="21">
        <f>EXP(-LN(2)/2)*AW17+(1-EXP(-LN(2)/2))/(LN(2)/2)*AQ18*AT18*VLOOKUP('Données projet'!$B$10,Paramètres!$A$1:$I$89,3,0)*0.475*44/12</f>
        <v>6.0053601060803743</v>
      </c>
      <c r="AX18" s="21">
        <f t="shared" si="6"/>
        <v>9.719808964964967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275.61521021573253</v>
      </c>
      <c r="BI18" s="59">
        <f ca="1">AVERAGE(OFFSET($BH$3,0,0,'Données projet'!$E$11+1,1))-AVERAGE(OFFSET($H$3,0,0,'Données projet'!$E$11+1,1))</f>
        <v>308.85018589589453</v>
      </c>
      <c r="BJ18" s="59">
        <f t="shared" si="38"/>
        <v>302.59481222418219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0.1075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0.27698616282609173</v>
      </c>
      <c r="BR18" s="21">
        <f>EXP(-LN(2)/2)*BR17+(1-EXP(-LN(2)/2))/(LN(2)/2)*BL18*BO18*VLOOKUP('Données projet'!$B$11,Paramètres!$A$1:$I$89,3,0)*0.475*44/12</f>
        <v>0.55196324504415206</v>
      </c>
      <c r="BS18" s="22">
        <f t="shared" si="9"/>
        <v>0.82894940787024374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40</v>
      </c>
      <c r="BW18" s="12">
        <f>VLOOKUP(A18,'Données projet'!$A$113:$I$133,9,0)</f>
        <v>2.6666666666666665</v>
      </c>
      <c r="BX18" s="12">
        <f t="array" ref="BX18">INDEX(BW:BW,MIN(IF(ISNUMBER(BW18:BW214),ROW(BW18:BW214),"")))</f>
        <v>2.6666666666666665</v>
      </c>
      <c r="BY18" s="12">
        <f>IF('Données projet'!$A$114&gt;35,BY17+BX18-CG17,IF(A18&lt;'Données projet'!$A$114,$BV$205^A18,IF(A18='Données projet'!$A$114,'Données projet'!$B$114,BY17+BX18-CG17)))</f>
        <v>40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 t="e">
        <f>IF(ISNA(VLOOKUP(A18,'Données projet'!$A$113:$I$133,5,0)),0%,VLOOKUP(A18,'Données projet'!$A$113:$I$133,5,0)*VLOOKUP('Données projet'!$B$12,Paramètres!$A$1:$I$89,7,0))</f>
        <v>#N/A</v>
      </c>
      <c r="CI18" s="16" t="e">
        <f>IF(ISNA(VLOOKUP(A18,'Données projet'!$A$113:$I$133,6,0)),0%,VLOOKUP(A18,'Données projet'!$A$113:$I$133,6,0)*VLOOKUP('Données projet'!$B$12,Paramètres!$A$1:$I$89,7,0))</f>
        <v>#N/A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2.3000055555555554</v>
      </c>
      <c r="CT18" s="12">
        <f>IF('Données projet'!$A$140&gt;35,CT17+CS18-DB17,IF(A18&lt;'Données projet'!$A$140,$CQ$205^A18,IF(A18='Données projet'!$A$140,'Données projet'!$B$140,CT17+CS18-DB17)))</f>
        <v>34.500083333333329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231.01899919086236</v>
      </c>
      <c r="S19" s="59">
        <f ca="1">AVERAGE(OFFSET($R$3,0,0,'Données projet'!$E$9+1,1))-AVERAGE(OFFSET($H$3,0,0,'Données projet'!$E$9+1,1))</f>
        <v>737.40414421611001</v>
      </c>
      <c r="T19" s="59">
        <f t="shared" si="34"/>
        <v>245.32893490531674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37.234079999999999</v>
      </c>
      <c r="AK19" s="13">
        <f t="shared" si="35"/>
        <v>11.262510356679771</v>
      </c>
      <c r="AL19" s="20">
        <f t="shared" si="4"/>
        <v>84.464894871217254</v>
      </c>
      <c r="AM19" s="59">
        <f t="shared" si="5"/>
        <v>291.40694079333133</v>
      </c>
      <c r="AN19" s="59">
        <f ca="1">AVERAGE(OFFSET($AM$3,0,0,'Données projet'!$E$10+1,1))-AVERAGE(OFFSET($H$3,0,0,'Données projet'!$E$10+1,1))</f>
        <v>377.28055430105911</v>
      </c>
      <c r="AO19" s="59">
        <f t="shared" si="36"/>
        <v>364.58250627635425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3.6128770595040178</v>
      </c>
      <c r="AW19" s="21">
        <f>EXP(-LN(2)/2)*AW18+(1-EXP(-LN(2)/2))/(LN(2)/2)*AQ19*AT19*VLOOKUP('Données projet'!$B$10,Paramètres!$A$1:$I$89,3,0)*0.475*44/12</f>
        <v>4.2464308544765972</v>
      </c>
      <c r="AX19" s="21">
        <f t="shared" si="6"/>
        <v>7.859307913980615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289.45064229975083</v>
      </c>
      <c r="BI19" s="59">
        <f ca="1">AVERAGE(OFFSET($BH$3,0,0,'Données projet'!$E$11+1,1))-AVERAGE(OFFSET($H$3,0,0,'Données projet'!$E$11+1,1))</f>
        <v>308.85018589589453</v>
      </c>
      <c r="BJ19" s="59">
        <f t="shared" si="38"/>
        <v>302.59481222418219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0.269411961637543</v>
      </c>
      <c r="BR19" s="21">
        <f>EXP(-LN(2)/2)*BR18+(1-EXP(-LN(2)/2))/(LN(2)/2)*BL19*BO19*VLOOKUP('Données projet'!$B$11,Paramètres!$A$1:$I$89,3,0)*0.475*44/12</f>
        <v>0.390296953536452</v>
      </c>
      <c r="BS19" s="22">
        <f t="shared" si="9"/>
        <v>0.65970891517399499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46.6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2.3000055555555554</v>
      </c>
      <c r="CT19" s="12">
        <f>IF('Données projet'!$A$140&gt;35,CT18+CS19-DB18,IF(A19&lt;'Données projet'!$A$140,$CQ$205^A19,IF(A19='Données projet'!$A$140,'Données projet'!$B$140,CT18+CS19-DB18)))</f>
        <v>36.800088888888887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237.25616901789971</v>
      </c>
      <c r="S20" s="59">
        <f ca="1">AVERAGE(OFFSET($R$3,0,0,'Données projet'!$E$9+1,1))-AVERAGE(OFFSET($H$3,0,0,'Données projet'!$E$9+1,1))</f>
        <v>737.40414421611001</v>
      </c>
      <c r="T20" s="59">
        <f t="shared" si="34"/>
        <v>245.32893490531674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48.213360000000002</v>
      </c>
      <c r="AK20" s="13">
        <f t="shared" si="35"/>
        <v>14.151379520104694</v>
      </c>
      <c r="AL20" s="20">
        <f t="shared" si="4"/>
        <v>108.61858799751566</v>
      </c>
      <c r="AM20" s="59">
        <f t="shared" si="5"/>
        <v>317.9847123133884</v>
      </c>
      <c r="AN20" s="59">
        <f ca="1">AVERAGE(OFFSET($AM$3,0,0,'Données projet'!$E$10+1,1))-AVERAGE(OFFSET($H$3,0,0,'Données projet'!$E$10+1,1))</f>
        <v>377.28055430105911</v>
      </c>
      <c r="AO20" s="59">
        <f t="shared" si="36"/>
        <v>364.58250627635425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3.514082746318933</v>
      </c>
      <c r="AW20" s="21">
        <f>EXP(-LN(2)/2)*AW19+(1-EXP(-LN(2)/2))/(LN(2)/2)*AQ20*AT20*VLOOKUP('Données projet'!$B$10,Paramètres!$A$1:$I$89,3,0)*0.475*44/12</f>
        <v>3.0026800530401876</v>
      </c>
      <c r="AX20" s="21">
        <f t="shared" si="6"/>
        <v>6.5167627993591211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308.37272857055473</v>
      </c>
      <c r="BI20" s="59">
        <f ca="1">AVERAGE(OFFSET($BH$3,0,0,'Données projet'!$E$11+1,1))-AVERAGE(OFFSET($H$3,0,0,'Données projet'!$E$11+1,1))</f>
        <v>308.85018589589453</v>
      </c>
      <c r="BJ20" s="59">
        <f t="shared" si="38"/>
        <v>302.59481222418219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0.26204487737880505</v>
      </c>
      <c r="BR20" s="21">
        <f>EXP(-LN(2)/2)*BR19+(1-EXP(-LN(2)/2))/(LN(2)/2)*BL20*BO20*VLOOKUP('Données projet'!$B$11,Paramètres!$A$1:$I$89,3,0)*0.475*44/12</f>
        <v>0.27598162252207609</v>
      </c>
      <c r="BS20" s="22">
        <f t="shared" si="9"/>
        <v>0.53802649990088114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56.2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2.3000055555555554</v>
      </c>
      <c r="CT20" s="12">
        <f>IF('Données projet'!$A$140&gt;35,CT19+CS20-DB19,IF(A20&lt;'Données projet'!$A$140,$CQ$205^A20,IF(A20='Données projet'!$A$140,'Données projet'!$B$140,CT19+CS20-DB19)))</f>
        <v>39.100094444444444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244.07829157142623</v>
      </c>
      <c r="S21" s="59">
        <f ca="1">AVERAGE(OFFSET($R$3,0,0,'Données projet'!$E$9+1,1))-AVERAGE(OFFSET($H$3,0,0,'Données projet'!$E$9+1,1))</f>
        <v>737.40414421611001</v>
      </c>
      <c r="T21" s="59">
        <f t="shared" si="34"/>
        <v>245.32893490531674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59.192639999999997</v>
      </c>
      <c r="AK21" s="13">
        <f t="shared" si="35"/>
        <v>16.963982408330725</v>
      </c>
      <c r="AL21" s="20">
        <f t="shared" si="4"/>
        <v>132.63945069450935</v>
      </c>
      <c r="AM21" s="59">
        <f t="shared" si="5"/>
        <v>344.40880388651249</v>
      </c>
      <c r="AN21" s="59">
        <f ca="1">AVERAGE(OFFSET($AM$3,0,0,'Données projet'!$E$10+1,1))-AVERAGE(OFFSET($H$3,0,0,'Données projet'!$E$10+1,1))</f>
        <v>377.28055430105911</v>
      </c>
      <c r="AO21" s="59">
        <f t="shared" si="36"/>
        <v>364.58250627635425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3.4179899688232616</v>
      </c>
      <c r="AW21" s="21">
        <f>EXP(-LN(2)/2)*AW20+(1-EXP(-LN(2)/2))/(LN(2)/2)*AQ21*AT21*VLOOKUP('Données projet'!$B$10,Paramètres!$A$1:$I$89,3,0)*0.475*44/12</f>
        <v>2.123215427238299</v>
      </c>
      <c r="AX21" s="21">
        <f t="shared" si="6"/>
        <v>5.5412053960615602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327.20556835279899</v>
      </c>
      <c r="BI21" s="59">
        <f ca="1">AVERAGE(OFFSET($BH$3,0,0,'Données projet'!$E$11+1,1))-AVERAGE(OFFSET($H$3,0,0,'Données projet'!$E$11+1,1))</f>
        <v>308.85018589589453</v>
      </c>
      <c r="BJ21" s="59">
        <f t="shared" si="38"/>
        <v>302.59481222418219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0.25487924642654042</v>
      </c>
      <c r="BR21" s="21">
        <f>EXP(-LN(2)/2)*BR20+(1-EXP(-LN(2)/2))/(LN(2)/2)*BL21*BO21*VLOOKUP('Données projet'!$B$11,Paramètres!$A$1:$I$89,3,0)*0.475*44/12</f>
        <v>0.19514847676822603</v>
      </c>
      <c r="BS21" s="22">
        <f t="shared" si="9"/>
        <v>0.45002772319476647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65.8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2.3000055555555554</v>
      </c>
      <c r="CT21" s="12">
        <f>IF('Données projet'!$A$140&gt;35,CT20+CS21-DB20,IF(A21&lt;'Données projet'!$A$140,$CQ$205^A21,IF(A21='Données projet'!$A$140,'Données projet'!$B$140,CT20+CS21-DB20)))</f>
        <v>41.400100000000002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251.58225917989486</v>
      </c>
      <c r="S22" s="59">
        <f ca="1">AVERAGE(OFFSET($R$3,0,0,'Données projet'!$E$9+1,1))-AVERAGE(OFFSET($H$3,0,0,'Données projet'!$E$9+1,1))</f>
        <v>737.40414421611001</v>
      </c>
      <c r="T22" s="59">
        <f t="shared" si="34"/>
        <v>245.32893490531674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70.171919999999986</v>
      </c>
      <c r="AK22" s="13">
        <f t="shared" si="35"/>
        <v>19.716145269554726</v>
      </c>
      <c r="AL22" s="20">
        <f t="shared" si="4"/>
        <v>156.55504701114111</v>
      </c>
      <c r="AM22" s="59">
        <f t="shared" si="5"/>
        <v>370.70714125416464</v>
      </c>
      <c r="AN22" s="59">
        <f ca="1">AVERAGE(OFFSET($AM$3,0,0,'Données projet'!$E$10+1,1))-AVERAGE(OFFSET($H$3,0,0,'Données projet'!$E$10+1,1))</f>
        <v>377.28055430105911</v>
      </c>
      <c r="AO22" s="59">
        <f t="shared" si="36"/>
        <v>364.58250627635425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3.3245248533815088</v>
      </c>
      <c r="AW22" s="21">
        <f>EXP(-LN(2)/2)*AW21+(1-EXP(-LN(2)/2))/(LN(2)/2)*AQ22*AT22*VLOOKUP('Données projet'!$B$10,Paramètres!$A$1:$I$89,3,0)*0.475*44/12</f>
        <v>1.501340026520094</v>
      </c>
      <c r="AX22" s="21">
        <f t="shared" si="6"/>
        <v>4.8258648799016033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345.96065538148963</v>
      </c>
      <c r="BI22" s="59">
        <f ca="1">AVERAGE(OFFSET($BH$3,0,0,'Données projet'!$E$11+1,1))-AVERAGE(OFFSET($H$3,0,0,'Données projet'!$E$11+1,1))</f>
        <v>308.85018589589453</v>
      </c>
      <c r="BJ22" s="59">
        <f t="shared" si="38"/>
        <v>302.59481222418219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0.24790956002948963</v>
      </c>
      <c r="BR22" s="21">
        <f>EXP(-LN(2)/2)*BR21+(1-EXP(-LN(2)/2))/(LN(2)/2)*BL22*BO22*VLOOKUP('Données projet'!$B$11,Paramètres!$A$1:$I$89,3,0)*0.475*44/12</f>
        <v>0.13799081126103807</v>
      </c>
      <c r="BS22" s="22">
        <f t="shared" si="9"/>
        <v>0.38590037129052768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75.399999999999991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2.3000055555555554</v>
      </c>
      <c r="CT22" s="12">
        <f>IF('Données projet'!$A$140&gt;35,CT21+CS22-DB21,IF(A22&lt;'Données projet'!$A$140,$CQ$205^A22,IF(A22='Données projet'!$A$140,'Données projet'!$B$140,CT21+CS22-DB21)))</f>
        <v>43.70010555555556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259.88038138617196</v>
      </c>
      <c r="S23" s="59">
        <f ca="1">AVERAGE(OFFSET($R$3,0,0,'Données projet'!$E$9+1,1))-AVERAGE(OFFSET($H$3,0,0,'Données projet'!$E$9+1,1))</f>
        <v>737.40414421611001</v>
      </c>
      <c r="T23" s="59">
        <f t="shared" si="34"/>
        <v>245.32893490531674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81.151200000000003</v>
      </c>
      <c r="AK23" s="13">
        <f t="shared" si="35"/>
        <v>22.418424032002342</v>
      </c>
      <c r="AL23" s="20">
        <f t="shared" si="4"/>
        <v>180.38376185573739</v>
      </c>
      <c r="AM23" s="59">
        <f t="shared" si="5"/>
        <v>396.89846474263311</v>
      </c>
      <c r="AN23" s="59">
        <f ca="1">AVERAGE(OFFSET($AM$3,0,0,'Données projet'!$E$10+1,1))-AVERAGE(OFFSET($H$3,0,0,'Données projet'!$E$10+1,1))</f>
        <v>377.28055430105911</v>
      </c>
      <c r="AO23" s="59">
        <f t="shared" si="36"/>
        <v>364.58250627635425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7.2962939858416513</v>
      </c>
      <c r="AW23" s="21">
        <f>EXP(-LN(2)/2)*AW22+(1-EXP(-LN(2)/2))/(LN(2)/2)*AQ23*AT23*VLOOKUP('Données projet'!$B$10,Paramètres!$A$1:$I$89,3,0)*0.475*44/12</f>
        <v>7.6299703296445607</v>
      </c>
      <c r="AX23" s="21">
        <f t="shared" si="6"/>
        <v>14.926264315486211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364.64647179441829</v>
      </c>
      <c r="BI23" s="59">
        <f ca="1">AVERAGE(OFFSET($BH$3,0,0,'Données projet'!$E$11+1,1))-AVERAGE(OFFSET($H$3,0,0,'Données projet'!$E$11+1,1))</f>
        <v>308.85018589589453</v>
      </c>
      <c r="BJ23" s="59">
        <f t="shared" si="38"/>
        <v>302.59481222418219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2.5493484836242497</v>
      </c>
      <c r="BR23" s="21">
        <f>EXP(-LN(2)/2)*BR22+(1-EXP(-LN(2)/2))/(LN(2)/2)*BL23*BO23*VLOOKUP('Données projet'!$B$11,Paramètres!$A$1:$I$89,3,0)*0.475*44/12</f>
        <v>4.69726794708538</v>
      </c>
      <c r="BS23" s="22">
        <f t="shared" si="9"/>
        <v>7.2466164307096292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85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84.999999999999986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25</v>
      </c>
      <c r="CH23" s="16" t="e">
        <f>IF(ISNA(VLOOKUP(A23,'Données projet'!$A$113:$I$133,5,0)),0%,VLOOKUP(A23,'Données projet'!$A$113:$I$133,5,0)*VLOOKUP('Données projet'!$B$12,Paramètres!$A$1:$I$89,7,0))</f>
        <v>#N/A</v>
      </c>
      <c r="CI23" s="16" t="e">
        <f>IF(ISNA(VLOOKUP(A23,'Données projet'!$A$113:$I$133,6,0)),0%,VLOOKUP(A23,'Données projet'!$A$113:$I$133,6,0)*VLOOKUP('Données projet'!$B$12,Paramètres!$A$1:$I$89,7,0))</f>
        <v>#N/A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2.3000055555555554</v>
      </c>
      <c r="CT23" s="12">
        <f>IF('Données projet'!$A$140&gt;35,CT22+CS23-DB22,IF(A23&lt;'Données projet'!$A$140,$CQ$205^A23,IF(A23='Données projet'!$A$140,'Données projet'!$B$140,CT22+CS23-DB22)))</f>
        <v>46.000111111111117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269.10285557012014</v>
      </c>
      <c r="S24" s="59">
        <f ca="1">AVERAGE(OFFSET($R$3,0,0,'Données projet'!$E$9+1,1))-AVERAGE(OFFSET($H$3,0,0,'Données projet'!$E$9+1,1))</f>
        <v>737.40414421611001</v>
      </c>
      <c r="T24" s="59">
        <f t="shared" si="34"/>
        <v>245.32893490531674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65.080079999999981</v>
      </c>
      <c r="AK24" s="13">
        <f t="shared" si="35"/>
        <v>18.44653442602603</v>
      </c>
      <c r="AL24" s="20">
        <f t="shared" si="4"/>
        <v>145.47552012532864</v>
      </c>
      <c r="AM24" s="59">
        <f t="shared" si="5"/>
        <v>364.33304850120305</v>
      </c>
      <c r="AN24" s="59">
        <f ca="1">AVERAGE(OFFSET($AM$3,0,0,'Données projet'!$E$10+1,1))-AVERAGE(OFFSET($H$3,0,0,'Données projet'!$E$10+1,1))</f>
        <v>377.28055430105911</v>
      </c>
      <c r="AO24" s="59">
        <f t="shared" si="36"/>
        <v>364.58250627635425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7.0967764431033862</v>
      </c>
      <c r="AW24" s="21">
        <f>EXP(-LN(2)/2)*AW23+(1-EXP(-LN(2)/2))/(LN(2)/2)*AQ24*AT24*VLOOKUP('Données projet'!$B$10,Paramètres!$A$1:$I$89,3,0)*0.475*44/12</f>
        <v>5.3952037603438265</v>
      </c>
      <c r="AX24" s="21">
        <f t="shared" si="6"/>
        <v>12.491980203447213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342.48651165560199</v>
      </c>
      <c r="BI24" s="59">
        <f ca="1">AVERAGE(OFFSET($BH$3,0,0,'Données projet'!$E$11+1,1))-AVERAGE(OFFSET($H$3,0,0,'Données projet'!$E$11+1,1))</f>
        <v>308.85018589589453</v>
      </c>
      <c r="BJ24" s="59">
        <f t="shared" si="38"/>
        <v>302.59481222418219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2.4796364152751345</v>
      </c>
      <c r="BR24" s="21">
        <f>EXP(-LN(2)/2)*BR23+(1-EXP(-LN(2)/2))/(LN(2)/2)*BL24*BO24*VLOOKUP('Données projet'!$B$11,Paramètres!$A$1:$I$89,3,0)*0.475*44/12</f>
        <v>3.3214700184342854</v>
      </c>
      <c r="BS24" s="22">
        <f t="shared" si="9"/>
        <v>5.8011064337094194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70.59999999999998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2.3000055555555554</v>
      </c>
      <c r="CT24" s="12">
        <f>IF('Données projet'!$A$140&gt;35,CT23+CS24-DB23,IF(A24&lt;'Données projet'!$A$140,$CQ$205^A24,IF(A24='Données projet'!$A$140,'Données projet'!$B$140,CT23+CS24-DB23)))</f>
        <v>48.300116666666675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279.40063419961359</v>
      </c>
      <c r="S25" s="59">
        <f ca="1">AVERAGE(OFFSET($R$3,0,0,'Données projet'!$E$9+1,1))-AVERAGE(OFFSET($H$3,0,0,'Données projet'!$E$9+1,1))</f>
        <v>737.40414421611001</v>
      </c>
      <c r="T25" s="59">
        <f t="shared" si="34"/>
        <v>245.32893490531674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76.854959999999991</v>
      </c>
      <c r="AK25" s="13">
        <f t="shared" si="35"/>
        <v>21.366419773799993</v>
      </c>
      <c r="AL25" s="20">
        <f t="shared" si="4"/>
        <v>171.06890310603498</v>
      </c>
      <c r="AM25" s="59">
        <f t="shared" si="5"/>
        <v>392.24981700950337</v>
      </c>
      <c r="AN25" s="59">
        <f ca="1">AVERAGE(OFFSET($AM$3,0,0,'Données projet'!$E$10+1,1))-AVERAGE(OFFSET($H$3,0,0,'Données projet'!$E$10+1,1))</f>
        <v>377.28055430105911</v>
      </c>
      <c r="AO25" s="59">
        <f t="shared" si="36"/>
        <v>364.58250627635425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6.9027147180634705</v>
      </c>
      <c r="AW25" s="21">
        <f>EXP(-LN(2)/2)*AW24+(1-EXP(-LN(2)/2))/(LN(2)/2)*AQ25*AT25*VLOOKUP('Données projet'!$B$10,Paramètres!$A$1:$I$89,3,0)*0.475*44/12</f>
        <v>3.8149851648222808</v>
      </c>
      <c r="AX25" s="21">
        <f t="shared" si="6"/>
        <v>10.717699882885752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362.85685861009972</v>
      </c>
      <c r="BI25" s="59">
        <f ca="1">AVERAGE(OFFSET($BH$3,0,0,'Données projet'!$E$11+1,1))-AVERAGE(OFFSET($H$3,0,0,'Données projet'!$E$11+1,1))</f>
        <v>308.85018589589453</v>
      </c>
      <c r="BJ25" s="59">
        <f t="shared" si="38"/>
        <v>302.59481222418219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2.4118306271010241</v>
      </c>
      <c r="BR25" s="21">
        <f>EXP(-LN(2)/2)*BR24+(1-EXP(-LN(2)/2))/(LN(2)/2)*BL25*BO25*VLOOKUP('Données projet'!$B$11,Paramètres!$A$1:$I$89,3,0)*0.475*44/12</f>
        <v>2.3486339735426904</v>
      </c>
      <c r="BS25" s="22">
        <f t="shared" si="9"/>
        <v>4.760464600643715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81.199999999999974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2.3000055555555554</v>
      </c>
      <c r="CT25" s="12">
        <f>IF('Données projet'!$A$140&gt;35,CT24+CS25-DB24,IF(A25&lt;'Données projet'!$A$140,$CQ$205^A25,IF(A25='Données projet'!$A$140,'Données projet'!$B$140,CT24+CS25-DB24)))</f>
        <v>50.600122222222232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290.94875252008558</v>
      </c>
      <c r="S26" s="59">
        <f ca="1">AVERAGE(OFFSET($R$3,0,0,'Données projet'!$E$9+1,1))-AVERAGE(OFFSET($H$3,0,0,'Données projet'!$E$9+1,1))</f>
        <v>737.40414421611001</v>
      </c>
      <c r="T26" s="59">
        <f t="shared" si="34"/>
        <v>245.32893490531674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88.629839999999987</v>
      </c>
      <c r="AK26" s="13">
        <f t="shared" si="35"/>
        <v>24.23448093253452</v>
      </c>
      <c r="AL26" s="20">
        <f t="shared" si="4"/>
        <v>196.57202562416424</v>
      </c>
      <c r="AM26" s="59">
        <f t="shared" si="5"/>
        <v>420.05722233371074</v>
      </c>
      <c r="AN26" s="59">
        <f ca="1">AVERAGE(OFFSET($AM$3,0,0,'Données projet'!$E$10+1,1))-AVERAGE(OFFSET($H$3,0,0,'Données projet'!$E$10+1,1))</f>
        <v>377.28055430105911</v>
      </c>
      <c r="AO26" s="59">
        <f t="shared" si="36"/>
        <v>364.58250627635425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6.7139596211000345</v>
      </c>
      <c r="AW26" s="21">
        <f>EXP(-LN(2)/2)*AW25+(1-EXP(-LN(2)/2))/(LN(2)/2)*AQ26*AT26*VLOOKUP('Données projet'!$B$10,Paramètres!$A$1:$I$89,3,0)*0.475*44/12</f>
        <v>2.6976018801719137</v>
      </c>
      <c r="AX26" s="21">
        <f t="shared" si="6"/>
        <v>9.4115615012719473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383.15294218835021</v>
      </c>
      <c r="BI26" s="59">
        <f ca="1">AVERAGE(OFFSET($BH$3,0,0,'Données projet'!$E$11+1,1))-AVERAGE(OFFSET($H$3,0,0,'Données projet'!$E$11+1,1))</f>
        <v>308.85018589589453</v>
      </c>
      <c r="BJ26" s="59">
        <f t="shared" si="38"/>
        <v>302.59481222418219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2.3458789917702862</v>
      </c>
      <c r="BR26" s="21">
        <f>EXP(-LN(2)/2)*BR25+(1-EXP(-LN(2)/2))/(LN(2)/2)*BL26*BO26*VLOOKUP('Données projet'!$B$11,Paramètres!$A$1:$I$89,3,0)*0.475*44/12</f>
        <v>1.6607350092171429</v>
      </c>
      <c r="BS26" s="22">
        <f t="shared" si="9"/>
        <v>4.0066140009874296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91.799999999999969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2.3000055555555554</v>
      </c>
      <c r="CT26" s="12">
        <f>IF('Données projet'!$A$140&gt;35,CT25+CS26-DB25,IF(A26&lt;'Données projet'!$A$140,$CQ$205^A26,IF(A26='Données projet'!$A$140,'Données projet'!$B$140,CT25+CS26-DB25)))</f>
        <v>52.90012777777779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303.95019077789522</v>
      </c>
      <c r="S27" s="59">
        <f ca="1">AVERAGE(OFFSET($R$3,0,0,'Données projet'!$E$9+1,1))-AVERAGE(OFFSET($H$3,0,0,'Données projet'!$E$9+1,1))</f>
        <v>737.40414421611001</v>
      </c>
      <c r="T27" s="59">
        <f t="shared" si="34"/>
        <v>245.32893490531674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100.40472</v>
      </c>
      <c r="AK27" s="13">
        <f t="shared" si="35"/>
        <v>27.058393830330502</v>
      </c>
      <c r="AL27" s="20">
        <f t="shared" si="4"/>
        <v>221.99825658782561</v>
      </c>
      <c r="AM27" s="59">
        <f t="shared" si="5"/>
        <v>447.76896477144544</v>
      </c>
      <c r="AN27" s="59">
        <f ca="1">AVERAGE(OFFSET($AM$3,0,0,'Données projet'!$E$10+1,1))-AVERAGE(OFFSET($H$3,0,0,'Données projet'!$E$10+1,1))</f>
        <v>377.28055430105911</v>
      </c>
      <c r="AO27" s="59">
        <f t="shared" si="36"/>
        <v>364.58250627635425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6.5303660421892626</v>
      </c>
      <c r="AW27" s="21">
        <f>EXP(-LN(2)/2)*AW26+(1-EXP(-LN(2)/2))/(LN(2)/2)*AQ27*AT27*VLOOKUP('Données projet'!$B$10,Paramètres!$A$1:$I$89,3,0)*0.475*44/12</f>
        <v>1.9074925824111406</v>
      </c>
      <c r="AX27" s="21">
        <f t="shared" si="6"/>
        <v>8.4378586246004037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403.38219043656466</v>
      </c>
      <c r="BI27" s="59">
        <f ca="1">AVERAGE(OFFSET($BH$3,0,0,'Données projet'!$E$11+1,1))-AVERAGE(OFFSET($H$3,0,0,'Données projet'!$E$11+1,1))</f>
        <v>308.85018589589453</v>
      </c>
      <c r="BJ27" s="59">
        <f t="shared" si="38"/>
        <v>302.59481222418219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2.2817308073759133</v>
      </c>
      <c r="BR27" s="21">
        <f>EXP(-LN(2)/2)*BR26+(1-EXP(-LN(2)/2))/(LN(2)/2)*BL27*BO27*VLOOKUP('Données projet'!$B$11,Paramètres!$A$1:$I$89,3,0)*0.475*44/12</f>
        <v>1.1743169867713454</v>
      </c>
      <c r="BS27" s="22">
        <f t="shared" si="9"/>
        <v>3.4560477941472589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102.39999999999996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2.3000055555555554</v>
      </c>
      <c r="CT27" s="12">
        <f>IF('Données projet'!$A$140&gt;35,CT26+CS27-DB26,IF(A27&lt;'Données projet'!$A$140,$CQ$205^A27,IF(A27='Données projet'!$A$140,'Données projet'!$B$140,CT26+CS27-DB26)))</f>
        <v>55.200133333333348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318.64035701863293</v>
      </c>
      <c r="S28" s="59">
        <f ca="1">AVERAGE(OFFSET($R$3,0,0,'Données projet'!$E$9+1,1))-AVERAGE(OFFSET($H$3,0,0,'Données projet'!$E$9+1,1))</f>
        <v>737.40414421611001</v>
      </c>
      <c r="T28" s="59">
        <f t="shared" si="34"/>
        <v>245.32893490531674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112.17959999999998</v>
      </c>
      <c r="AK28" s="13">
        <f t="shared" si="35"/>
        <v>29.8439274472838</v>
      </c>
      <c r="AL28" s="20">
        <f t="shared" si="4"/>
        <v>247.35764363735257</v>
      </c>
      <c r="AM28" s="59">
        <f t="shared" si="5"/>
        <v>475.39541760368468</v>
      </c>
      <c r="AN28" s="59">
        <f ca="1">AVERAGE(OFFSET($AM$3,0,0,'Données projet'!$E$10+1,1))-AVERAGE(OFFSET($H$3,0,0,'Données projet'!$E$10+1,1))</f>
        <v>377.28055430105911</v>
      </c>
      <c r="AO28" s="59">
        <f t="shared" si="36"/>
        <v>364.58250627635425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0.13250000000000001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10.414471278753595</v>
      </c>
      <c r="AW28" s="21">
        <f>EXP(-LN(2)/2)*AW27+(1-EXP(-LN(2)/2))/(LN(2)/2)*AQ28*AT28*VLOOKUP('Données projet'!$B$10,Paramètres!$A$1:$I$89,3,0)*0.475*44/12</f>
        <v>7.917163556111368</v>
      </c>
      <c r="AX28" s="21">
        <f t="shared" si="6"/>
        <v>18.331634834864964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423.55047106217069</v>
      </c>
      <c r="BI28" s="59">
        <f ca="1">AVERAGE(OFFSET($BH$3,0,0,'Données projet'!$E$11+1,1))-AVERAGE(OFFSET($H$3,0,0,'Données projet'!$E$11+1,1))</f>
        <v>308.85018589589453</v>
      </c>
      <c r="BJ28" s="59">
        <f t="shared" si="38"/>
        <v>302.59481222418219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0.1075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4.7122122238920356</v>
      </c>
      <c r="BR28" s="21">
        <f>EXP(-LN(2)/2)*BR27+(1-EXP(-LN(2)/2))/(LN(2)/2)*BL28*BO28*VLOOKUP('Données projet'!$B$11,Paramètres!$A$1:$I$89,3,0)*0.475*44/12</f>
        <v>5.7980367100059418</v>
      </c>
      <c r="BS28" s="22">
        <f t="shared" si="9"/>
        <v>10.510248933897977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113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112.99999999999996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27</v>
      </c>
      <c r="CH28" s="16" t="e">
        <f>IF(ISNA(VLOOKUP(A28,'Données projet'!$A$113:$I$133,5,0)),0%,VLOOKUP(A28,'Données projet'!$A$113:$I$133,5,0)*VLOOKUP('Données projet'!$B$12,Paramètres!$A$1:$I$89,7,0))</f>
        <v>#N/A</v>
      </c>
      <c r="CI28" s="16" t="e">
        <f>IF(ISNA(VLOOKUP(A28,'Données projet'!$A$113:$I$133,6,0)),0%,VLOOKUP(A28,'Données projet'!$A$113:$I$133,6,0)*VLOOKUP('Données projet'!$B$12,Paramètres!$A$1:$I$89,7,0))</f>
        <v>#N/A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2.3000055555555554</v>
      </c>
      <c r="CT28" s="12">
        <f>IF('Données projet'!$A$140&gt;35,CT27+CS28-DB27,IF(A28&lt;'Données projet'!$A$140,$CQ$205^A28,IF(A28='Données projet'!$A$140,'Données projet'!$B$140,CT27+CS28-DB27)))</f>
        <v>57.500138888888905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335.29229037649617</v>
      </c>
      <c r="S29" s="59">
        <f ca="1">AVERAGE(OFFSET($R$3,0,0,'Données projet'!$E$9+1,1))-AVERAGE(OFFSET($H$3,0,0,'Données projet'!$E$9+1,1))</f>
        <v>737.40414421611001</v>
      </c>
      <c r="T29" s="59">
        <f t="shared" si="34"/>
        <v>245.32893490531674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95.631119999999967</v>
      </c>
      <c r="AK29" s="13">
        <f t="shared" si="35"/>
        <v>25.918481589892234</v>
      </c>
      <c r="AL29" s="20">
        <f t="shared" si="4"/>
        <v>211.69888943572892</v>
      </c>
      <c r="AM29" s="59">
        <f t="shared" si="5"/>
        <v>441.98560348491912</v>
      </c>
      <c r="AN29" s="59">
        <f ca="1">AVERAGE(OFFSET($AM$3,0,0,'Données projet'!$E$10+1,1))-AVERAGE(OFFSET($H$3,0,0,'Données projet'!$E$10+1,1))</f>
        <v>377.28055430105911</v>
      </c>
      <c r="AO29" s="59">
        <f t="shared" si="36"/>
        <v>364.58250627635425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10.129687013962837</v>
      </c>
      <c r="AW29" s="21">
        <f>EXP(-LN(2)/2)*AW28+(1-EXP(-LN(2)/2))/(LN(2)/2)*AQ29*AT29*VLOOKUP('Données projet'!$B$10,Paramètres!$A$1:$I$89,3,0)*0.475*44/12</f>
        <v>5.5982800382893503</v>
      </c>
      <c r="AX29" s="21">
        <f t="shared" si="6"/>
        <v>15.727967052252186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76.049999999999969</v>
      </c>
      <c r="BF29" s="13">
        <f t="shared" si="37"/>
        <v>21.168560890749262</v>
      </c>
      <c r="BG29" s="20">
        <f t="shared" si="7"/>
        <v>169.32232688472158</v>
      </c>
      <c r="BH29" s="59">
        <f t="shared" si="8"/>
        <v>399.60904093391173</v>
      </c>
      <c r="BI29" s="59">
        <f ca="1">AVERAGE(OFFSET($BH$3,0,0,'Données projet'!$E$11+1,1))-AVERAGE(OFFSET($H$3,0,0,'Données projet'!$E$11+1,1))</f>
        <v>308.85018589589453</v>
      </c>
      <c r="BJ29" s="59">
        <f t="shared" si="38"/>
        <v>302.59481222418219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4.5833565328252366</v>
      </c>
      <c r="BR29" s="21">
        <f>EXP(-LN(2)/2)*BR28+(1-EXP(-LN(2)/2))/(LN(2)/2)*BL29*BO29*VLOOKUP('Données projet'!$B$11,Paramètres!$A$1:$I$89,3,0)*0.475*44/12</f>
        <v>4.0998310752137419</v>
      </c>
      <c r="BS29" s="22">
        <f t="shared" si="9"/>
        <v>8.6831876080389776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11.5</v>
      </c>
      <c r="BY29" s="12">
        <f>IF('Données projet'!$A$114&gt;35,BY28+BX29-CG28,IF(A29&lt;'Données projet'!$A$114,$BV$205^A29,IF(A29='Données projet'!$A$114,'Données projet'!$B$114,BY28+BX29-CG28)))</f>
        <v>97.499999999999957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2.3000055555555554</v>
      </c>
      <c r="CT29" s="12">
        <f>IF('Données projet'!$A$140&gt;35,CT28+CS29-DB28,IF(A29&lt;'Données projet'!$A$140,$CQ$205^A29,IF(A29='Données projet'!$A$140,'Données projet'!$B$140,CT28+CS29-DB28)))</f>
        <v>59.800144444444463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354.22270088707421</v>
      </c>
      <c r="S30" s="59">
        <f ca="1">AVERAGE(OFFSET($R$3,0,0,'Données projet'!$E$9+1,1))-AVERAGE(OFFSET($H$3,0,0,'Données projet'!$E$9+1,1))</f>
        <v>737.40414421611001</v>
      </c>
      <c r="T30" s="59">
        <f t="shared" si="34"/>
        <v>245.32893490531674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106.92863999999996</v>
      </c>
      <c r="AK30" s="13">
        <f t="shared" si="35"/>
        <v>28.606159868782917</v>
      </c>
      <c r="AL30" s="20">
        <f t="shared" si="4"/>
        <v>236.05644310479681</v>
      </c>
      <c r="AM30" s="59">
        <f t="shared" si="5"/>
        <v>468.57428597736032</v>
      </c>
      <c r="AN30" s="59">
        <f ca="1">AVERAGE(OFFSET($AM$3,0,0,'Données projet'!$E$10+1,1))-AVERAGE(OFFSET($H$3,0,0,'Données projet'!$E$10+1,1))</f>
        <v>377.28055430105911</v>
      </c>
      <c r="AO30" s="59">
        <f t="shared" si="36"/>
        <v>364.58250627635425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9.8526901898689339</v>
      </c>
      <c r="AW30" s="21">
        <f>EXP(-LN(2)/2)*AW29+(1-EXP(-LN(2)/2))/(LN(2)/2)*AQ30*AT30*VLOOKUP('Données projet'!$B$10,Paramètres!$A$1:$I$89,3,0)*0.475*44/12</f>
        <v>3.9585817780556849</v>
      </c>
      <c r="AX30" s="21">
        <f t="shared" si="6"/>
        <v>13.811271967924618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85.019999999999968</v>
      </c>
      <c r="BF30" s="13">
        <f t="shared" si="37"/>
        <v>23.360218970693097</v>
      </c>
      <c r="BG30" s="20">
        <f t="shared" si="7"/>
        <v>188.76221470729038</v>
      </c>
      <c r="BH30" s="59">
        <f t="shared" si="8"/>
        <v>421.28005757985386</v>
      </c>
      <c r="BI30" s="59">
        <f ca="1">AVERAGE(OFFSET($BH$3,0,0,'Données projet'!$E$11+1,1))-AVERAGE(OFFSET($H$3,0,0,'Données projet'!$E$11+1,1))</f>
        <v>308.85018589589453</v>
      </c>
      <c r="BJ30" s="59">
        <f t="shared" si="38"/>
        <v>302.59481222418219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4.458024407406886</v>
      </c>
      <c r="BR30" s="21">
        <f>EXP(-LN(2)/2)*BR29+(1-EXP(-LN(2)/2))/(LN(2)/2)*BL30*BO30*VLOOKUP('Données projet'!$B$11,Paramètres!$A$1:$I$89,3,0)*0.475*44/12</f>
        <v>2.8990183550029713</v>
      </c>
      <c r="BS30" s="22">
        <f t="shared" si="9"/>
        <v>7.3570427624098578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11.5</v>
      </c>
      <c r="BY30" s="12">
        <f>IF('Données projet'!$A$114&gt;35,BY29+BX30-CG29,IF(A30&lt;'Données projet'!$A$114,$BV$205^A30,IF(A30='Données projet'!$A$114,'Données projet'!$B$114,BY29+BX30-CG29)))</f>
        <v>108.99999999999996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2.3000055555555554</v>
      </c>
      <c r="CT30" s="12">
        <f>IF('Données projet'!$A$140&gt;35,CT29+CS30-DB29,IF(A30&lt;'Données projet'!$A$140,$CQ$205^A30,IF(A30='Données projet'!$A$140,'Données projet'!$B$140,CT29+CS30-DB29)))</f>
        <v>62.100150000000021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375.79898057585251</v>
      </c>
      <c r="S31" s="59">
        <f ca="1">AVERAGE(OFFSET($R$3,0,0,'Données projet'!$E$9+1,1))-AVERAGE(OFFSET($H$3,0,0,'Données projet'!$E$9+1,1))</f>
        <v>737.40414421611001</v>
      </c>
      <c r="T31" s="59">
        <f t="shared" si="34"/>
        <v>245.32893490531674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118.22615999999996</v>
      </c>
      <c r="AK31" s="13">
        <f t="shared" si="35"/>
        <v>31.260922342884676</v>
      </c>
      <c r="AL31" s="20">
        <f t="shared" si="4"/>
        <v>260.35666841385739</v>
      </c>
      <c r="AM31" s="59">
        <f t="shared" si="5"/>
        <v>495.08813783584151</v>
      </c>
      <c r="AN31" s="59">
        <f ca="1">AVERAGE(OFFSET($AM$3,0,0,'Données projet'!$E$10+1,1))-AVERAGE(OFFSET($H$3,0,0,'Données projet'!$E$10+1,1))</f>
        <v>377.28055430105911</v>
      </c>
      <c r="AO31" s="59">
        <f t="shared" si="36"/>
        <v>364.58250627635425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9.5832678584965088</v>
      </c>
      <c r="AW31" s="21">
        <f>EXP(-LN(2)/2)*AW30+(1-EXP(-LN(2)/2))/(LN(2)/2)*AQ31*AT31*VLOOKUP('Données projet'!$B$10,Paramètres!$A$1:$I$89,3,0)*0.475*44/12</f>
        <v>2.7991400191446756</v>
      </c>
      <c r="AX31" s="21">
        <f t="shared" si="6"/>
        <v>12.382407877641185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93.989999999999966</v>
      </c>
      <c r="BF31" s="13">
        <f t="shared" si="37"/>
        <v>25.525074036970054</v>
      </c>
      <c r="BG31" s="20">
        <f t="shared" si="7"/>
        <v>208.15542061438944</v>
      </c>
      <c r="BH31" s="59">
        <f t="shared" si="8"/>
        <v>442.88689003637353</v>
      </c>
      <c r="BI31" s="59">
        <f ca="1">AVERAGE(OFFSET($BH$3,0,0,'Données projet'!$E$11+1,1))-AVERAGE(OFFSET($H$3,0,0,'Données projet'!$E$11+1,1))</f>
        <v>308.85018589589453</v>
      </c>
      <c r="BJ31" s="59">
        <f t="shared" si="38"/>
        <v>302.59481222418219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4.3361194955490303</v>
      </c>
      <c r="BR31" s="21">
        <f>EXP(-LN(2)/2)*BR30+(1-EXP(-LN(2)/2))/(LN(2)/2)*BL31*BO31*VLOOKUP('Données projet'!$B$11,Paramètres!$A$1:$I$89,3,0)*0.475*44/12</f>
        <v>2.049915537606871</v>
      </c>
      <c r="BS31" s="22">
        <f t="shared" si="9"/>
        <v>6.3860350331559008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11.5</v>
      </c>
      <c r="BY31" s="12">
        <f>IF('Données projet'!$A$114&gt;35,BY30+BX31-CG30,IF(A31&lt;'Données projet'!$A$114,$BV$205^A31,IF(A31='Données projet'!$A$114,'Données projet'!$B$114,BY30+BX31-CG30)))</f>
        <v>120.49999999999996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2.3000055555555554</v>
      </c>
      <c r="CT31" s="12">
        <f>IF('Données projet'!$A$140&gt;35,CT30+CS31-DB30,IF(A31&lt;'Données projet'!$A$140,$CQ$205^A31,IF(A31='Données projet'!$A$140,'Données projet'!$B$140,CT30+CS31-DB30)))</f>
        <v>64.400155555555571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400.4473423197573</v>
      </c>
      <c r="S32" s="59">
        <f ca="1">AVERAGE(OFFSET($R$3,0,0,'Données projet'!$E$9+1,1))-AVERAGE(OFFSET($H$3,0,0,'Données projet'!$E$9+1,1))</f>
        <v>737.40414421611001</v>
      </c>
      <c r="T32" s="59">
        <f t="shared" si="34"/>
        <v>245.32893490531674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129.52367999999996</v>
      </c>
      <c r="AK32" s="13">
        <f t="shared" si="35"/>
        <v>33.886272262901727</v>
      </c>
      <c r="AL32" s="20">
        <f t="shared" si="4"/>
        <v>284.60566685788712</v>
      </c>
      <c r="AM32" s="59">
        <f t="shared" si="5"/>
        <v>521.53356418066301</v>
      </c>
      <c r="AN32" s="59">
        <f ca="1">AVERAGE(OFFSET($AM$3,0,0,'Données projet'!$E$10+1,1))-AVERAGE(OFFSET($H$3,0,0,'Données projet'!$E$10+1,1))</f>
        <v>377.28055430105911</v>
      </c>
      <c r="AO32" s="59">
        <f t="shared" si="36"/>
        <v>364.58250627635425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9.321212894943768</v>
      </c>
      <c r="AW32" s="21">
        <f>EXP(-LN(2)/2)*AW31+(1-EXP(-LN(2)/2))/(LN(2)/2)*AQ32*AT32*VLOOKUP('Données projet'!$B$10,Paramètres!$A$1:$I$89,3,0)*0.475*44/12</f>
        <v>1.9792908890278427</v>
      </c>
      <c r="AX32" s="21">
        <f t="shared" si="6"/>
        <v>11.30050378397161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102.95999999999997</v>
      </c>
      <c r="BF32" s="13">
        <f t="shared" si="37"/>
        <v>27.665975080374633</v>
      </c>
      <c r="BG32" s="20">
        <f t="shared" si="7"/>
        <v>227.50690659831903</v>
      </c>
      <c r="BH32" s="59">
        <f t="shared" si="8"/>
        <v>464.43480392109484</v>
      </c>
      <c r="BI32" s="59">
        <f ca="1">AVERAGE(OFFSET($BH$3,0,0,'Données projet'!$E$11+1,1))-AVERAGE(OFFSET($H$3,0,0,'Données projet'!$E$11+1,1))</f>
        <v>308.85018589589453</v>
      </c>
      <c r="BJ32" s="59">
        <f t="shared" si="38"/>
        <v>302.59481222418219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4.2175480799166278</v>
      </c>
      <c r="BR32" s="21">
        <f>EXP(-LN(2)/2)*BR31+(1-EXP(-LN(2)/2))/(LN(2)/2)*BL32*BO32*VLOOKUP('Données projet'!$B$11,Paramètres!$A$1:$I$89,3,0)*0.475*44/12</f>
        <v>1.4495091775014857</v>
      </c>
      <c r="BS32" s="22">
        <f t="shared" si="9"/>
        <v>5.6670572574181133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11.5</v>
      </c>
      <c r="BY32" s="12">
        <f>IF('Données projet'!$A$114&gt;35,BY31+BX32-CG31,IF(A32&lt;'Données projet'!$A$114,$BV$205^A32,IF(A32='Données projet'!$A$114,'Données projet'!$B$114,BY31+BX32-CG31)))</f>
        <v>131.99999999999994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2.3000055555555554</v>
      </c>
      <c r="CT32" s="12">
        <f>IF('Données projet'!$A$140&gt;35,CT31+CS32-DB31,IF(A32&lt;'Données projet'!$A$140,$CQ$205^A32,IF(A32='Données projet'!$A$140,'Données projet'!$B$140,CT31+CS32-DB31)))</f>
        <v>66.700161111111129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428.66226823865009</v>
      </c>
      <c r="S33" s="59">
        <f ca="1">AVERAGE(OFFSET($R$3,0,0,'Données projet'!$E$9+1,1))-AVERAGE(OFFSET($H$3,0,0,'Données projet'!$E$9+1,1))</f>
        <v>737.40414421611001</v>
      </c>
      <c r="T33" s="59">
        <f t="shared" si="34"/>
        <v>245.32893490531674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140.82119999999992</v>
      </c>
      <c r="AK33" s="13">
        <f t="shared" si="35"/>
        <v>36.485066799987997</v>
      </c>
      <c r="AL33" s="20">
        <f t="shared" si="4"/>
        <v>308.80841467664561</v>
      </c>
      <c r="AM33" s="59">
        <f t="shared" si="5"/>
        <v>547.91583960968762</v>
      </c>
      <c r="AN33" s="59">
        <f ca="1">AVERAGE(OFFSET($AM$3,0,0,'Données projet'!$E$10+1,1))-AVERAGE(OFFSET($H$3,0,0,'Données projet'!$E$10+1,1))</f>
        <v>377.28055430105911</v>
      </c>
      <c r="AO33" s="59">
        <f t="shared" si="36"/>
        <v>364.58250627635425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0.13250000000000001</v>
      </c>
      <c r="AS33" s="16">
        <f>IF(ISNA(VLOOKUP(A33,'Données projet'!$A$61:$I$81,6,0)),0%,VLOOKUP(A33,'Données projet'!$A$61:$I$81,6,0)*VLOOKUP('Données projet'!$B$10,Paramètres!$A$1:$I$89,7,0))</f>
        <v>0.13250000000000001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4.078737984972876</v>
      </c>
      <c r="AV33" s="21">
        <f>EXP(-LN(2)/25)*AV32+(1-EXP(-LN(2)/25))/(LN(2)/25)*Calculateur!AQ33*Calculateur!AS33*VLOOKUP('Données projet'!$B$10,Paramètres!$A$1:$I$89,3,0)*0.475*44/12</f>
        <v>13.129002277555273</v>
      </c>
      <c r="AW33" s="21">
        <f>EXP(-LN(2)/2)*AW32+(1-EXP(-LN(2)/2))/(LN(2)/2)*AQ33*AT33*VLOOKUP('Données projet'!$B$10,Paramètres!$A$1:$I$89,3,0)*0.475*44/12</f>
        <v>7.967932625597749</v>
      </c>
      <c r="AX33" s="21">
        <f t="shared" si="6"/>
        <v>25.175672888125895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111.92999999999996</v>
      </c>
      <c r="BF33" s="13">
        <f t="shared" si="37"/>
        <v>29.785246291563833</v>
      </c>
      <c r="BG33" s="20">
        <f t="shared" si="7"/>
        <v>246.82072062447358</v>
      </c>
      <c r="BH33" s="59">
        <f t="shared" si="8"/>
        <v>485.92814555751556</v>
      </c>
      <c r="BI33" s="59">
        <f ca="1">AVERAGE(OFFSET($BH$3,0,0,'Données projet'!$E$11+1,1))-AVERAGE(OFFSET($H$3,0,0,'Données projet'!$E$11+1,1))</f>
        <v>308.85018589589453</v>
      </c>
      <c r="BJ33" s="59">
        <f t="shared" si="38"/>
        <v>302.59481222418219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4.1022190058800936</v>
      </c>
      <c r="BR33" s="21">
        <f>EXP(-LN(2)/2)*BR32+(1-EXP(-LN(2)/2))/(LN(2)/2)*BL33*BO33*VLOOKUP('Données projet'!$B$11,Paramètres!$A$1:$I$89,3,0)*0.475*44/12</f>
        <v>1.0249577688034355</v>
      </c>
      <c r="BS33" s="22">
        <f t="shared" si="9"/>
        <v>5.1271767746835293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11.5</v>
      </c>
      <c r="BY33" s="12">
        <f>IF('Données projet'!$A$114&gt;35,BY32+BX33-CG32,IF(A33&lt;'Données projet'!$A$114,$BV$205^A33,IF(A33='Données projet'!$A$114,'Données projet'!$B$114,BY32+BX33-CG32)))</f>
        <v>143.49999999999994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2.3000055555555554</v>
      </c>
      <c r="CT33" s="12">
        <f>IF('Données projet'!$A$140&gt;35,CT32+CS33-DB32,IF(A33&lt;'Données projet'!$A$140,$CQ$205^A33,IF(A33='Données projet'!$A$140,'Données projet'!$B$140,CT32+CS33-DB32)))</f>
        <v>69.000166666666686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459.7952564944988</v>
      </c>
      <c r="S34" s="59">
        <f ca="1">AVERAGE(OFFSET($R$3,0,0,'Données projet'!$E$9+1,1))-AVERAGE(OFFSET($H$3,0,0,'Données projet'!$E$9+1,1))</f>
        <v>737.40414421611001</v>
      </c>
      <c r="T34" s="59">
        <f t="shared" si="34"/>
        <v>245.32893490531674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123.15887999999995</v>
      </c>
      <c r="AK34" s="13">
        <f t="shared" si="35"/>
        <v>32.410638331814873</v>
      </c>
      <c r="AL34" s="20">
        <f t="shared" si="4"/>
        <v>270.95024442791083</v>
      </c>
      <c r="AM34" s="59">
        <f t="shared" si="5"/>
        <v>510.99836764072836</v>
      </c>
      <c r="AN34" s="59">
        <f ca="1">AVERAGE(OFFSET($AM$3,0,0,'Données projet'!$E$10+1,1))-AVERAGE(OFFSET($H$3,0,0,'Données projet'!$E$10+1,1))</f>
        <v>377.28055430105911</v>
      </c>
      <c r="AO34" s="59">
        <f t="shared" si="36"/>
        <v>364.58250627635425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3.9987564208720805</v>
      </c>
      <c r="AV34" s="21">
        <f>EXP(-LN(2)/25)*AV33+(1-EXP(-LN(2)/25))/(LN(2)/25)*Calculateur!AQ34*Calculateur!AS34*VLOOKUP('Données projet'!$B$10,Paramètres!$A$1:$I$89,3,0)*0.475*44/12</f>
        <v>12.7699890198513</v>
      </c>
      <c r="AW34" s="21">
        <f>EXP(-LN(2)/2)*AW33+(1-EXP(-LN(2)/2))/(LN(2)/2)*AQ34*AT34*VLOOKUP('Données projet'!$B$10,Paramètres!$A$1:$I$89,3,0)*0.475*44/12</f>
        <v>5.6341791915977009</v>
      </c>
      <c r="AX34" s="21">
        <f t="shared" si="6"/>
        <v>22.402924632321081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506.1483481458215</v>
      </c>
      <c r="BI34" s="59">
        <f ca="1">AVERAGE(OFFSET($BH$3,0,0,'Données projet'!$E$11+1,1))-AVERAGE(OFFSET($H$3,0,0,'Données projet'!$E$11+1,1))</f>
        <v>308.85018589589453</v>
      </c>
      <c r="BJ34" s="59">
        <f t="shared" si="38"/>
        <v>302.59481222418219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0.1075</v>
      </c>
      <c r="BN34" s="16">
        <f>IF(ISNA(VLOOKUP(A34,'Données projet'!$A$87:$I$107,6,0)),0%,VLOOKUP(A34,'Données projet'!$A$87:$I$107,6,0)*VLOOKUP('Données projet'!$B$11,Paramètres!$A$1:$I$89,7,0))</f>
        <v>0.1075</v>
      </c>
      <c r="BO34" s="16">
        <f>IF(ISNA(VLOOKUP(A34,'Données projet'!$A$87:$I$107,7,0)),0%,VLOOKUP(A34,'Données projet'!$A$87:$I$107,7,0))</f>
        <v>0.25</v>
      </c>
      <c r="BP34" s="21">
        <f>EXP(-LN(2)/35)*BP33+(1-EXP(-LN(2)/35))/(LN(2)/35)*BL34*BM34*VLOOKUP('Données projet'!$B$11,Paramètres!$A$1:$I$89,3,0)*0.475*44/12</f>
        <v>3.3369728876581632</v>
      </c>
      <c r="BQ34" s="21">
        <f>EXP(-LN(2)/25)*BQ33+(1-EXP(-LN(2)/25))/(LN(2)/25)*Calculateur!BL34*Calculateur!BN34*VLOOKUP('Données projet'!$B$11,Paramètres!$A$1:$I$89,3,0)*0.475*44/12</f>
        <v>7.3138775653510812</v>
      </c>
      <c r="BR34" s="21">
        <f>EXP(-LN(2)/2)*BR33+(1-EXP(-LN(2)/2))/(LN(2)/2)*BL34*BO34*VLOOKUP('Données projet'!$B$11,Paramètres!$A$1:$I$89,3,0)*0.475*44/12</f>
        <v>7.3483135292805679</v>
      </c>
      <c r="BS34" s="22">
        <f t="shared" si="9"/>
        <v>17.999163982289812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155</v>
      </c>
      <c r="BW34" s="12">
        <f>VLOOKUP(A34,'Données projet'!$A$113:$I$133,9,0)</f>
        <v>11.5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154.99999999999994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36</v>
      </c>
      <c r="CH34" s="16" t="e">
        <f>IF(ISNA(VLOOKUP(A34,'Données projet'!$A$113:$I$133,5,0)),0%,VLOOKUP(A34,'Données projet'!$A$113:$I$133,5,0)*VLOOKUP('Données projet'!$B$12,Paramètres!$A$1:$I$89,7,0))</f>
        <v>#N/A</v>
      </c>
      <c r="CI34" s="16" t="e">
        <f>IF(ISNA(VLOOKUP(A34,'Données projet'!$A$113:$I$133,6,0)),0%,VLOOKUP(A34,'Données projet'!$A$113:$I$133,6,0)*VLOOKUP('Données projet'!$B$12,Paramètres!$A$1:$I$89,7,0))</f>
        <v>#N/A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2.3000055555555554</v>
      </c>
      <c r="CT34" s="12">
        <f>IF('Données projet'!$A$140&gt;35,CT33+CS34-DB33,IF(A34&lt;'Données projet'!$A$140,$CQ$205^A34,IF(A34='Données projet'!$A$140,'Données projet'!$B$140,CT33+CS34-DB33)))</f>
        <v>71.300172222222244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495.73422279681608</v>
      </c>
      <c r="S35" s="59">
        <f ca="1">AVERAGE(OFFSET($R$3,0,0,'Données projet'!$E$9+1,1))-AVERAGE(OFFSET($H$3,0,0,'Données projet'!$E$9+1,1))</f>
        <v>737.40414421611001</v>
      </c>
      <c r="T35" s="59">
        <f t="shared" si="34"/>
        <v>245.32893490531674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133.34255999999996</v>
      </c>
      <c r="AK35" s="13">
        <f t="shared" si="35"/>
        <v>34.767581918978188</v>
      </c>
      <c r="AL35" s="20">
        <f t="shared" si="4"/>
        <v>292.7918305088869</v>
      </c>
      <c r="AM35" s="59">
        <f t="shared" si="5"/>
        <v>533.7643329894122</v>
      </c>
      <c r="AN35" s="59">
        <f ca="1">AVERAGE(OFFSET($AM$3,0,0,'Données projet'!$E$10+1,1))-AVERAGE(OFFSET($H$3,0,0,'Données projet'!$E$10+1,1))</f>
        <v>377.28055430105911</v>
      </c>
      <c r="AO35" s="59">
        <f t="shared" si="36"/>
        <v>364.58250627635425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3.9203432464593644</v>
      </c>
      <c r="AV35" s="21">
        <f>EXP(-LN(2)/25)*AV34+(1-EXP(-LN(2)/25))/(LN(2)/25)*Calculateur!AQ35*Calculateur!AS35*VLOOKUP('Données projet'!$B$10,Paramètres!$A$1:$I$89,3,0)*0.475*44/12</f>
        <v>12.42079299855893</v>
      </c>
      <c r="AW35" s="21">
        <f>EXP(-LN(2)/2)*AW34+(1-EXP(-LN(2)/2))/(LN(2)/2)*AQ35*AT35*VLOOKUP('Données projet'!$B$10,Paramètres!$A$1:$I$89,3,0)*0.475*44/12</f>
        <v>3.9839663127988749</v>
      </c>
      <c r="AX35" s="21">
        <f t="shared" si="6"/>
        <v>20.325102557817168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101.78999999999996</v>
      </c>
      <c r="BF35" s="13">
        <f t="shared" si="37"/>
        <v>27.38799903683508</v>
      </c>
      <c r="BG35" s="20">
        <f t="shared" si="7"/>
        <v>224.98501498915437</v>
      </c>
      <c r="BH35" s="59">
        <f t="shared" si="8"/>
        <v>465.95751746967971</v>
      </c>
      <c r="BI35" s="59">
        <f ca="1">AVERAGE(OFFSET($BH$3,0,0,'Données projet'!$E$11+1,1))-AVERAGE(OFFSET($H$3,0,0,'Données projet'!$E$11+1,1))</f>
        <v>308.85018589589453</v>
      </c>
      <c r="BJ35" s="59">
        <f t="shared" si="38"/>
        <v>302.59481222418219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3.2715368846836737</v>
      </c>
      <c r="BQ35" s="21">
        <f>EXP(-LN(2)/25)*BQ34+(1-EXP(-LN(2)/25))/(LN(2)/25)*Calculateur!BL35*Calculateur!BN35*VLOOKUP('Données projet'!$B$11,Paramètres!$A$1:$I$89,3,0)*0.475*44/12</f>
        <v>7.1138791987064511</v>
      </c>
      <c r="BR35" s="21">
        <f>EXP(-LN(2)/2)*BR34+(1-EXP(-LN(2)/2))/(LN(2)/2)*BL35*BO35*VLOOKUP('Données projet'!$B$11,Paramètres!$A$1:$I$89,3,0)*0.475*44/12</f>
        <v>5.1960423268391418</v>
      </c>
      <c r="BS35" s="22">
        <f t="shared" si="9"/>
        <v>15.581458410229267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130.49999999999994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2.3000055555555554</v>
      </c>
      <c r="CT35" s="12">
        <f>IF('Données projet'!$A$140&gt;35,CT34+CS35-DB34,IF(A35&lt;'Données projet'!$A$140,$CQ$205^A35,IF(A35='Données projet'!$A$140,'Données projet'!$B$140,CT34+CS35-DB34)))</f>
        <v>73.600177777777802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537.25161917986054</v>
      </c>
      <c r="S36" s="59">
        <f ca="1">AVERAGE(OFFSET($R$3,0,0,'Données projet'!$E$9+1,1))-AVERAGE(OFFSET($H$3,0,0,'Données projet'!$E$9+1,1))</f>
        <v>737.40414421611001</v>
      </c>
      <c r="T36" s="59">
        <f t="shared" si="34"/>
        <v>245.32893490531674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143.52623999999997</v>
      </c>
      <c r="AK36" s="13">
        <f t="shared" si="35"/>
        <v>37.103644337236275</v>
      </c>
      <c r="AL36" s="20">
        <f t="shared" si="4"/>
        <v>314.59704855401981</v>
      </c>
      <c r="AM36" s="59">
        <f t="shared" si="5"/>
        <v>556.47789438856057</v>
      </c>
      <c r="AN36" s="59">
        <f ca="1">AVERAGE(OFFSET($AM$3,0,0,'Données projet'!$E$10+1,1))-AVERAGE(OFFSET($H$3,0,0,'Données projet'!$E$10+1,1))</f>
        <v>377.28055430105911</v>
      </c>
      <c r="AO36" s="59">
        <f t="shared" si="36"/>
        <v>364.58250627635425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3.8434677065695677</v>
      </c>
      <c r="AV36" s="21">
        <f>EXP(-LN(2)/25)*AV35+(1-EXP(-LN(2)/25))/(LN(2)/25)*Calculateur!AQ36*Calculateur!AS36*VLOOKUP('Données projet'!$B$10,Paramètres!$A$1:$I$89,3,0)*0.475*44/12</f>
        <v>12.081145760832221</v>
      </c>
      <c r="AW36" s="21">
        <f>EXP(-LN(2)/2)*AW35+(1-EXP(-LN(2)/2))/(LN(2)/2)*AQ36*AT36*VLOOKUP('Données projet'!$B$10,Paramètres!$A$1:$I$89,3,0)*0.475*44/12</f>
        <v>2.8170895957988509</v>
      </c>
      <c r="AX36" s="21">
        <f t="shared" si="6"/>
        <v>18.741703063200639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110.75999999999996</v>
      </c>
      <c r="BF36" s="13">
        <f t="shared" si="37"/>
        <v>29.509974682362923</v>
      </c>
      <c r="BG36" s="20">
        <f t="shared" si="7"/>
        <v>244.30353923844871</v>
      </c>
      <c r="BH36" s="59">
        <f t="shared" si="8"/>
        <v>486.18438507298947</v>
      </c>
      <c r="BI36" s="59">
        <f ca="1">AVERAGE(OFFSET($BH$3,0,0,'Données projet'!$E$11+1,1))-AVERAGE(OFFSET($H$3,0,0,'Données projet'!$E$11+1,1))</f>
        <v>308.85018589589453</v>
      </c>
      <c r="BJ36" s="59">
        <f t="shared" si="38"/>
        <v>302.59481222418219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3.2073840418154931</v>
      </c>
      <c r="BQ36" s="21">
        <f>EXP(-LN(2)/25)*BQ35+(1-EXP(-LN(2)/25))/(LN(2)/25)*Calculateur!BL36*Calculateur!BN36*VLOOKUP('Données projet'!$B$11,Paramètres!$A$1:$I$89,3,0)*0.475*44/12</f>
        <v>6.9193497979151752</v>
      </c>
      <c r="BR36" s="21">
        <f>EXP(-LN(2)/2)*BR35+(1-EXP(-LN(2)/2))/(LN(2)/2)*BL36*BO36*VLOOKUP('Données projet'!$B$11,Paramètres!$A$1:$I$89,3,0)*0.475*44/12</f>
        <v>3.6741567646402844</v>
      </c>
      <c r="BS36" s="22">
        <f t="shared" si="9"/>
        <v>13.800890604370952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141.99999999999994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2.3000055555555554</v>
      </c>
      <c r="CT36" s="12">
        <f>IF('Données projet'!$A$140&gt;35,CT35+CS36-DB35,IF(A36&lt;'Données projet'!$A$140,$CQ$205^A36,IF(A36='Données projet'!$A$140,'Données projet'!$B$140,CT35+CS36-DB35)))</f>
        <v>75.900183333333359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585.24382306723101</v>
      </c>
      <c r="S37" s="59">
        <f ca="1">AVERAGE(OFFSET($R$3,0,0,'Données projet'!$E$9+1,1))-AVERAGE(OFFSET($H$3,0,0,'Données projet'!$E$9+1,1))</f>
        <v>737.40414421611001</v>
      </c>
      <c r="T37" s="59">
        <f t="shared" si="34"/>
        <v>245.32893490531674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153.70991999999998</v>
      </c>
      <c r="AK37" s="13">
        <f t="shared" si="35"/>
        <v>39.420475690379831</v>
      </c>
      <c r="AL37" s="20">
        <f t="shared" si="4"/>
        <v>336.3687724940782</v>
      </c>
      <c r="AM37" s="59">
        <f t="shared" si="5"/>
        <v>579.14220395619373</v>
      </c>
      <c r="AN37" s="59">
        <f ca="1">AVERAGE(OFFSET($AM$3,0,0,'Données projet'!$E$10+1,1))-AVERAGE(OFFSET($H$3,0,0,'Données projet'!$E$10+1,1))</f>
        <v>377.28055430105911</v>
      </c>
      <c r="AO37" s="59">
        <f t="shared" si="36"/>
        <v>364.58250627635425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3.7680996491275609</v>
      </c>
      <c r="AV37" s="21">
        <f>EXP(-LN(2)/25)*AV36+(1-EXP(-LN(2)/25))/(LN(2)/25)*Calculateur!AQ37*Calculateur!AS37*VLOOKUP('Données projet'!$B$10,Paramètres!$A$1:$I$89,3,0)*0.475*44/12</f>
        <v>11.750786194682421</v>
      </c>
      <c r="AW37" s="21">
        <f>EXP(-LN(2)/2)*AW36+(1-EXP(-LN(2)/2))/(LN(2)/2)*AQ37*AT37*VLOOKUP('Données projet'!$B$10,Paramètres!$A$1:$I$89,3,0)*0.475*44/12</f>
        <v>1.9919831563994377</v>
      </c>
      <c r="AX37" s="21">
        <f t="shared" si="6"/>
        <v>17.510869000209421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119.72999999999996</v>
      </c>
      <c r="BF37" s="13">
        <f t="shared" si="37"/>
        <v>31.612017974790529</v>
      </c>
      <c r="BG37" s="20">
        <f t="shared" si="7"/>
        <v>263.58734797276003</v>
      </c>
      <c r="BH37" s="59">
        <f t="shared" si="8"/>
        <v>506.36077943487561</v>
      </c>
      <c r="BI37" s="59">
        <f ca="1">AVERAGE(OFFSET($BH$3,0,0,'Données projet'!$E$11+1,1))-AVERAGE(OFFSET($H$3,0,0,'Données projet'!$E$11+1,1))</f>
        <v>308.85018589589453</v>
      </c>
      <c r="BJ37" s="59">
        <f t="shared" si="38"/>
        <v>302.59481222418219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3.1444891970665871</v>
      </c>
      <c r="BQ37" s="21">
        <f>EXP(-LN(2)/25)*BQ36+(1-EXP(-LN(2)/25))/(LN(2)/25)*Calculateur!BL37*Calculateur!BN37*VLOOKUP('Données projet'!$B$11,Paramètres!$A$1:$I$89,3,0)*0.475*44/12</f>
        <v>6.7301398138183934</v>
      </c>
      <c r="BR37" s="21">
        <f>EXP(-LN(2)/2)*BR36+(1-EXP(-LN(2)/2))/(LN(2)/2)*BL37*BO37*VLOOKUP('Données projet'!$B$11,Paramètres!$A$1:$I$89,3,0)*0.475*44/12</f>
        <v>2.5980211634195713</v>
      </c>
      <c r="BS37" s="22">
        <f t="shared" si="9"/>
        <v>12.472650174304551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153.49999999999994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2.3000055555555554</v>
      </c>
      <c r="CT37" s="12">
        <f>IF('Données projet'!$A$140&gt;35,CT36+CS37-DB36,IF(A37&lt;'Données projet'!$A$140,$CQ$205^A37,IF(A37='Données projet'!$A$140,'Données projet'!$B$140,CT36+CS37-DB36)))</f>
        <v>78.200188888888917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542.14899428361753</v>
      </c>
      <c r="S38" s="59">
        <f ca="1">AVERAGE(OFFSET($R$3,0,0,'Données projet'!$E$9+1,1))-AVERAGE(OFFSET($H$3,0,0,'Données projet'!$E$9+1,1))</f>
        <v>737.40414421611001</v>
      </c>
      <c r="T38" s="59">
        <f t="shared" si="34"/>
        <v>245.32893490531674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163.89359999999999</v>
      </c>
      <c r="AK38" s="13">
        <f t="shared" si="35"/>
        <v>41.71949506642347</v>
      </c>
      <c r="AL38" s="20">
        <f t="shared" si="4"/>
        <v>358.10947390735419</v>
      </c>
      <c r="AM38" s="59">
        <f t="shared" si="5"/>
        <v>601.76000663192872</v>
      </c>
      <c r="AN38" s="59">
        <f ca="1">AVERAGE(OFFSET($AM$3,0,0,'Données projet'!$E$10+1,1))-AVERAGE(OFFSET($H$3,0,0,'Données projet'!$E$10+1,1))</f>
        <v>377.28055430105911</v>
      </c>
      <c r="AO38" s="59">
        <f t="shared" si="36"/>
        <v>364.58250627635425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0.13250000000000001</v>
      </c>
      <c r="AS38" s="16">
        <f>IF(ISNA(VLOOKUP(A38,'Données projet'!$A$61:$I$81,6,0)),0%,VLOOKUP(A38,'Données projet'!$A$61:$I$81,6,0)*VLOOKUP('Données projet'!$B$10,Paramètres!$A$1:$I$89,7,0))</f>
        <v>0.13250000000000001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7.7729474982948918</v>
      </c>
      <c r="AV38" s="21">
        <f>EXP(-LN(2)/25)*AV37+(1-EXP(-LN(2)/25))/(LN(2)/25)*Calculateur!AQ38*Calculateur!AS38*VLOOKUP('Données projet'!$B$10,Paramètres!$A$1:$I$89,3,0)*0.475*44/12</f>
        <v>15.492138767646864</v>
      </c>
      <c r="AW38" s="21">
        <f>EXP(-LN(2)/2)*AW37+(1-EXP(-LN(2)/2))/(LN(2)/2)*AQ38*AT38*VLOOKUP('Données projet'!$B$10,Paramètres!$A$1:$I$89,3,0)*0.475*44/12</f>
        <v>7.9769074139248364</v>
      </c>
      <c r="AX38" s="21">
        <f t="shared" si="6"/>
        <v>31.241993679866589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128.69999999999996</v>
      </c>
      <c r="BF38" s="13">
        <f t="shared" si="37"/>
        <v>33.695792019186115</v>
      </c>
      <c r="BG38" s="20">
        <f t="shared" si="7"/>
        <v>282.83933776674911</v>
      </c>
      <c r="BH38" s="59">
        <f t="shared" si="8"/>
        <v>526.48987049132359</v>
      </c>
      <c r="BI38" s="59">
        <f ca="1">AVERAGE(OFFSET($BH$3,0,0,'Données projet'!$E$11+1,1))-AVERAGE(OFFSET($H$3,0,0,'Données projet'!$E$11+1,1))</f>
        <v>308.85018589589453</v>
      </c>
      <c r="BJ38" s="59">
        <f t="shared" si="38"/>
        <v>302.59481222418219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3.08282768186114</v>
      </c>
      <c r="BQ38" s="21">
        <f>EXP(-LN(2)/25)*BQ37+(1-EXP(-LN(2)/25))/(LN(2)/25)*Calculateur!BL38*Calculateur!BN38*VLOOKUP('Données projet'!$B$11,Paramètres!$A$1:$I$89,3,0)*0.475*44/12</f>
        <v>6.5461037866868583</v>
      </c>
      <c r="BR38" s="21">
        <f>EXP(-LN(2)/2)*BR37+(1-EXP(-LN(2)/2))/(LN(2)/2)*BL38*BO38*VLOOKUP('Données projet'!$B$11,Paramètres!$A$1:$I$89,3,0)*0.475*44/12</f>
        <v>1.8370783823201426</v>
      </c>
      <c r="BS38" s="22">
        <f t="shared" si="9"/>
        <v>11.46600985086814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164.99999999999994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2.3000055555555554</v>
      </c>
      <c r="CT38" s="12">
        <f>IF('Données projet'!$A$140&gt;35,CT37+CS38-DB37,IF(A38&lt;'Données projet'!$A$140,$CQ$205^A38,IF(A38='Données projet'!$A$140,'Données projet'!$B$140,CT37+CS38-DB37)))</f>
        <v>80.500194444444475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570.03287049730261</v>
      </c>
      <c r="S39" s="59">
        <f ca="1">AVERAGE(OFFSET($R$3,0,0,'Données projet'!$E$9+1,1))-AVERAGE(OFFSET($H$3,0,0,'Données projet'!$E$9+1,1))</f>
        <v>737.40414421611001</v>
      </c>
      <c r="T39" s="59">
        <f t="shared" si="34"/>
        <v>245.32893490531674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145.11743999999999</v>
      </c>
      <c r="AK39" s="13">
        <f t="shared" si="35"/>
        <v>37.466878406916173</v>
      </c>
      <c r="AL39" s="20">
        <f t="shared" si="4"/>
        <v>318.00102122537896</v>
      </c>
      <c r="AM39" s="59">
        <f t="shared" si="5"/>
        <v>562.51343946641339</v>
      </c>
      <c r="AN39" s="59">
        <f ca="1">AVERAGE(OFFSET($AM$3,0,0,'Données projet'!$E$10+1,1))-AVERAGE(OFFSET($H$3,0,0,'Données projet'!$E$10+1,1))</f>
        <v>377.28055430105911</v>
      </c>
      <c r="AO39" s="59">
        <f t="shared" si="36"/>
        <v>364.58250627635425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7.620524738883165</v>
      </c>
      <c r="AV39" s="21">
        <f>EXP(-LN(2)/25)*AV38+(1-EXP(-LN(2)/25))/(LN(2)/25)*Calculateur!AQ39*Calculateur!AS39*VLOOKUP('Données projet'!$B$10,Paramètres!$A$1:$I$89,3,0)*0.475*44/12</f>
        <v>15.068505418349391</v>
      </c>
      <c r="AW39" s="21">
        <f>EXP(-LN(2)/2)*AW38+(1-EXP(-LN(2)/2))/(LN(2)/2)*AQ39*AT39*VLOOKUP('Données projet'!$B$10,Paramètres!$A$1:$I$89,3,0)*0.475*44/12</f>
        <v>5.6405253252834981</v>
      </c>
      <c r="AX39" s="21">
        <f t="shared" si="6"/>
        <v>28.329555482516053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137.66999999999996</v>
      </c>
      <c r="BF39" s="13">
        <f t="shared" si="37"/>
        <v>35.762714965854656</v>
      </c>
      <c r="BG39" s="20">
        <f t="shared" si="7"/>
        <v>302.06197856553007</v>
      </c>
      <c r="BH39" s="59">
        <f t="shared" si="8"/>
        <v>546.57439680656444</v>
      </c>
      <c r="BI39" s="59">
        <f ca="1">AVERAGE(OFFSET($BH$3,0,0,'Données projet'!$E$11+1,1))-AVERAGE(OFFSET($H$3,0,0,'Données projet'!$E$11+1,1))</f>
        <v>308.85018589589453</v>
      </c>
      <c r="BJ39" s="59">
        <f t="shared" si="38"/>
        <v>302.59481222418219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3.022375311359061</v>
      </c>
      <c r="BQ39" s="21">
        <f>EXP(-LN(2)/25)*BQ38+(1-EXP(-LN(2)/25))/(LN(2)/25)*Calculateur!BL39*Calculateur!BN39*VLOOKUP('Données projet'!$B$11,Paramètres!$A$1:$I$89,3,0)*0.475*44/12</f>
        <v>6.3671002343952692</v>
      </c>
      <c r="BR39" s="21">
        <f>EXP(-LN(2)/2)*BR38+(1-EXP(-LN(2)/2))/(LN(2)/2)*BL39*BO39*VLOOKUP('Données projet'!$B$11,Paramètres!$A$1:$I$89,3,0)*0.475*44/12</f>
        <v>1.2990105817097859</v>
      </c>
      <c r="BS39" s="22">
        <f t="shared" si="9"/>
        <v>10.688486127464115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176.49999999999994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82.80019999999999</v>
      </c>
      <c r="CR39" s="12">
        <f>VLOOKUP(A39,'Données projet'!$A$139:$I$159,9,0)</f>
        <v>2.3000055555555554</v>
      </c>
      <c r="CS39" s="12">
        <f t="array" ref="CS39">INDEX(CR:CR,MIN(IF(ISNUMBER(CR39:CR235),ROW(CR39:CR235),"")))</f>
        <v>2.3000055555555554</v>
      </c>
      <c r="CT39" s="12">
        <f>IF('Données projet'!$A$140&gt;35,CT38+CS39-DB38,IF(A39&lt;'Données projet'!$A$140,$CQ$205^A39,IF(A39='Données projet'!$A$140,'Données projet'!$B$140,CT38+CS39-DB38)))</f>
        <v>82.800200000000032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1</v>
      </c>
      <c r="DB39" s="15">
        <f>IF(ISNA(VLOOKUP(A39,'Données projet'!$A$139:$I$159,4,0)),0,VLOOKUP(A39,'Données projet'!$A$139:$I$159,4,0))</f>
        <v>0</v>
      </c>
      <c r="DC39" s="16" t="e">
        <f>IF(ISNA(VLOOKUP(A39,'Données projet'!$A$139:$I$159,5,0)),0%,VLOOKUP(A39,'Données projet'!$A$139:$I$159,5,0)*VLOOKUP('Données projet'!$B$13,Paramètres!$A$1:$I$89,7,0))</f>
        <v>#N/A</v>
      </c>
      <c r="DD39" s="16" t="e">
        <f>IF(ISNA(VLOOKUP(A39,'Données projet'!$A$139:$I$159,6,0)),0%,VLOOKUP(A39,'Données projet'!$A$139:$I$159,6,0)*VLOOKUP('Données projet'!$B$13,Paramètres!$A$1:$I$89,7,0))</f>
        <v>#N/A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597.85224588904293</v>
      </c>
      <c r="S40" s="59">
        <f ca="1">AVERAGE(OFFSET($R$3,0,0,'Données projet'!$E$9+1,1))-AVERAGE(OFFSET($H$3,0,0,'Données projet'!$E$9+1,1))</f>
        <v>737.40414421611001</v>
      </c>
      <c r="T40" s="59">
        <f t="shared" si="34"/>
        <v>245.32893490531674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154.18727999999999</v>
      </c>
      <c r="AK40" s="13">
        <f t="shared" si="35"/>
        <v>39.528629863903078</v>
      </c>
      <c r="AL40" s="20">
        <f t="shared" si="4"/>
        <v>337.38854301296448</v>
      </c>
      <c r="AM40" s="59">
        <f t="shared" si="5"/>
        <v>582.74789498363555</v>
      </c>
      <c r="AN40" s="59">
        <f ca="1">AVERAGE(OFFSET($AM$3,0,0,'Données projet'!$E$10+1,1))-AVERAGE(OFFSET($H$3,0,0,'Données projet'!$E$10+1,1))</f>
        <v>377.28055430105911</v>
      </c>
      <c r="AO40" s="59">
        <f t="shared" si="36"/>
        <v>364.58250627635425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7.4710908968147987</v>
      </c>
      <c r="AV40" s="21">
        <f>EXP(-LN(2)/25)*AV39+(1-EXP(-LN(2)/25))/(LN(2)/25)*Calculateur!AQ40*Calculateur!AS40*VLOOKUP('Données projet'!$B$10,Paramètres!$A$1:$I$89,3,0)*0.475*44/12</f>
        <v>14.656456345266367</v>
      </c>
      <c r="AW40" s="21">
        <f>EXP(-LN(2)/2)*AW39+(1-EXP(-LN(2)/2))/(LN(2)/2)*AQ40*AT40*VLOOKUP('Données projet'!$B$10,Paramètres!$A$1:$I$89,3,0)*0.475*44/12</f>
        <v>3.9884537069624186</v>
      </c>
      <c r="AX40" s="21">
        <f t="shared" si="6"/>
        <v>26.116000949043581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146.63999999999996</v>
      </c>
      <c r="BF40" s="13">
        <f t="shared" si="37"/>
        <v>37.814009712703026</v>
      </c>
      <c r="BG40" s="20">
        <f t="shared" si="7"/>
        <v>321.25740024962437</v>
      </c>
      <c r="BH40" s="59">
        <f t="shared" si="8"/>
        <v>566.61675222029544</v>
      </c>
      <c r="BI40" s="59">
        <f ca="1">AVERAGE(OFFSET($BH$3,0,0,'Données projet'!$E$11+1,1))-AVERAGE(OFFSET($H$3,0,0,'Données projet'!$E$11+1,1))</f>
        <v>308.85018589589453</v>
      </c>
      <c r="BJ40" s="59">
        <f t="shared" si="38"/>
        <v>302.59481222418219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0.1075</v>
      </c>
      <c r="BN40" s="16">
        <f>IF(ISNA(VLOOKUP(A40,'Données projet'!$A$87:$I$107,6,0)),0%,VLOOKUP(A40,'Données projet'!$A$87:$I$107,6,0)*VLOOKUP('Données projet'!$B$11,Paramètres!$A$1:$I$89,7,0))</f>
        <v>0.1075</v>
      </c>
      <c r="BO40" s="16">
        <f>IF(ISNA(VLOOKUP(A40,'Données projet'!$A$87:$I$107,7,0)),0%,VLOOKUP(A40,'Données projet'!$A$87:$I$107,7,0))</f>
        <v>0.25</v>
      </c>
      <c r="BP40" s="21">
        <f>EXP(-LN(2)/35)*BP39+(1-EXP(-LN(2)/35))/(LN(2)/35)*BL40*BM40*VLOOKUP('Données projet'!$B$11,Paramètres!$A$1:$I$89,3,0)*0.475*44/12</f>
        <v>6.3000812626283853</v>
      </c>
      <c r="BQ40" s="21">
        <f>EXP(-LN(2)/25)*BQ39+(1-EXP(-LN(2)/25))/(LN(2)/25)*Calculateur!BL40*Calculateur!BN40*VLOOKUP('Données projet'!$B$11,Paramètres!$A$1:$I$89,3,0)*0.475*44/12</f>
        <v>9.5168254975675808</v>
      </c>
      <c r="BR40" s="21">
        <f>EXP(-LN(2)/2)*BR39+(1-EXP(-LN(2)/2))/(LN(2)/2)*BL40*BO40*VLOOKUP('Données projet'!$B$11,Paramètres!$A$1:$I$89,3,0)*0.475*44/12</f>
        <v>7.5420981316898965</v>
      </c>
      <c r="BS40" s="22">
        <f t="shared" si="9"/>
        <v>23.359004891885863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188</v>
      </c>
      <c r="BW40" s="12">
        <f>VLOOKUP(A40,'Données projet'!$A$113:$I$133,9,0)</f>
        <v>11.5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187.99999999999994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36</v>
      </c>
      <c r="CH40" s="16" t="e">
        <f>IF(ISNA(VLOOKUP(A40,'Données projet'!$A$113:$I$133,5,0)),0%,VLOOKUP(A40,'Données projet'!$A$113:$I$133,5,0)*VLOOKUP('Données projet'!$B$12,Paramètres!$A$1:$I$89,7,0))</f>
        <v>#N/A</v>
      </c>
      <c r="CI40" s="16" t="e">
        <f>IF(ISNA(VLOOKUP(A40,'Données projet'!$A$113:$I$133,6,0)),0%,VLOOKUP(A40,'Données projet'!$A$113:$I$133,6,0)*VLOOKUP('Données projet'!$B$12,Paramètres!$A$1:$I$89,7,0))</f>
        <v>#N/A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3.7828000000000035</v>
      </c>
      <c r="CT40" s="12">
        <f>IF('Données projet'!$A$140&gt;35,CT39+CS40-DB39,IF(A40&lt;'Données projet'!$A$140,$CQ$205^A40,IF(A40='Données projet'!$A$140,'Données projet'!$B$140,CT39+CS40-DB39)))</f>
        <v>86.583000000000041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625.61170091814404</v>
      </c>
      <c r="S41" s="59">
        <f ca="1">AVERAGE(OFFSET($R$3,0,0,'Données projet'!$E$9+1,1))-AVERAGE(OFFSET($H$3,0,0,'Données projet'!$E$9+1,1))</f>
        <v>737.40414421611001</v>
      </c>
      <c r="T41" s="59">
        <f t="shared" si="34"/>
        <v>245.32893490531674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163.25712000000001</v>
      </c>
      <c r="AK41" s="13">
        <f t="shared" si="35"/>
        <v>41.576304038313076</v>
      </c>
      <c r="AL41" s="20">
        <f t="shared" si="4"/>
        <v>356.75154686672863</v>
      </c>
      <c r="AM41" s="59">
        <f t="shared" si="5"/>
        <v>602.94314016028738</v>
      </c>
      <c r="AN41" s="59">
        <f ca="1">AVERAGE(OFFSET($AM$3,0,0,'Données projet'!$E$10+1,1))-AVERAGE(OFFSET($H$3,0,0,'Données projet'!$E$10+1,1))</f>
        <v>377.28055430105911</v>
      </c>
      <c r="AO41" s="59">
        <f t="shared" si="36"/>
        <v>364.58250627635425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7.3245873612437498</v>
      </c>
      <c r="AV41" s="21">
        <f>EXP(-LN(2)/25)*AV40+(1-EXP(-LN(2)/25))/(LN(2)/25)*Calculateur!AQ41*Calculateur!AS41*VLOOKUP('Données projet'!$B$10,Paramètres!$A$1:$I$89,3,0)*0.475*44/12</f>
        <v>14.255674775755518</v>
      </c>
      <c r="AW41" s="21">
        <f>EXP(-LN(2)/2)*AW40+(1-EXP(-LN(2)/2))/(LN(2)/2)*AQ41*AT41*VLOOKUP('Données projet'!$B$10,Paramètres!$A$1:$I$89,3,0)*0.475*44/12</f>
        <v>2.8202626626417495</v>
      </c>
      <c r="AX41" s="21">
        <f t="shared" si="6"/>
        <v>24.400524799641016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127.25142857142853</v>
      </c>
      <c r="BF41" s="13">
        <f t="shared" si="37"/>
        <v>33.360457439554281</v>
      </c>
      <c r="BG41" s="20">
        <f t="shared" si="7"/>
        <v>279.73236813579501</v>
      </c>
      <c r="BH41" s="59">
        <f t="shared" si="8"/>
        <v>525.92396142935377</v>
      </c>
      <c r="BI41" s="59">
        <f ca="1">AVERAGE(OFFSET($BH$3,0,0,'Données projet'!$E$11+1,1))-AVERAGE(OFFSET($H$3,0,0,'Données projet'!$E$11+1,1))</f>
        <v>308.85018589589453</v>
      </c>
      <c r="BJ41" s="59">
        <f t="shared" si="38"/>
        <v>302.59481222418219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6.1765405117383807</v>
      </c>
      <c r="BQ41" s="21">
        <f>EXP(-LN(2)/25)*BQ40+(1-EXP(-LN(2)/25))/(LN(2)/25)*Calculateur!BL41*Calculateur!BN41*VLOOKUP('Données projet'!$B$11,Paramètres!$A$1:$I$89,3,0)*0.475*44/12</f>
        <v>9.2565874038684939</v>
      </c>
      <c r="BR41" s="21">
        <f>EXP(-LN(2)/2)*BR40+(1-EXP(-LN(2)/2))/(LN(2)/2)*BL41*BO41*VLOOKUP('Données projet'!$B$11,Paramètres!$A$1:$I$89,3,0)*0.475*44/12</f>
        <v>5.3330687332923166</v>
      </c>
      <c r="BS41" s="22">
        <f t="shared" si="9"/>
        <v>20.766196648899189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11.142857142857142</v>
      </c>
      <c r="BY41" s="12">
        <f>IF('Données projet'!$A$114&gt;35,BY40+BX41-CG40,IF(A41&lt;'Données projet'!$A$114,$BV$205^A41,IF(A41='Données projet'!$A$114,'Données projet'!$B$114,BY40+BX41-CG40)))</f>
        <v>163.14285714285708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3.7828000000000035</v>
      </c>
      <c r="CT41" s="12">
        <f>IF('Données projet'!$A$140&gt;35,CT40+CS41-DB40,IF(A41&lt;'Données projet'!$A$140,$CQ$205^A41,IF(A41='Données projet'!$A$140,'Données projet'!$B$140,CT40+CS41-DB40)))</f>
        <v>90.36580000000005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653.31514838187218</v>
      </c>
      <c r="S42" s="59">
        <f ca="1">AVERAGE(OFFSET($R$3,0,0,'Données projet'!$E$9+1,1))-AVERAGE(OFFSET($H$3,0,0,'Données projet'!$E$9+1,1))</f>
        <v>737.40414421611001</v>
      </c>
      <c r="T42" s="59">
        <f t="shared" si="34"/>
        <v>245.32893490531674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172.32695999999999</v>
      </c>
      <c r="AK42" s="13">
        <f t="shared" si="35"/>
        <v>43.61077213808133</v>
      </c>
      <c r="AL42" s="20">
        <f t="shared" si="4"/>
        <v>376.09155014049156</v>
      </c>
      <c r="AM42" s="59">
        <f t="shared" si="5"/>
        <v>623.10094723059865</v>
      </c>
      <c r="AN42" s="59">
        <f ca="1">AVERAGE(OFFSET($AM$3,0,0,'Données projet'!$E$10+1,1))-AVERAGE(OFFSET($H$3,0,0,'Données projet'!$E$10+1,1))</f>
        <v>377.28055430105911</v>
      </c>
      <c r="AO42" s="59">
        <f t="shared" si="36"/>
        <v>364.58250627635425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7.1809566706469159</v>
      </c>
      <c r="AV42" s="21">
        <f>EXP(-LN(2)/25)*AV41+(1-EXP(-LN(2)/25))/(LN(2)/25)*Calculateur!AQ42*Calculateur!AS42*VLOOKUP('Données projet'!$B$10,Paramètres!$A$1:$I$89,3,0)*0.475*44/12</f>
        <v>13.865852599339128</v>
      </c>
      <c r="AW42" s="21">
        <f>EXP(-LN(2)/2)*AW41+(1-EXP(-LN(2)/2))/(LN(2)/2)*AQ42*AT42*VLOOKUP('Données projet'!$B$10,Paramètres!$A$1:$I$89,3,0)*0.475*44/12</f>
        <v>1.9942268534812095</v>
      </c>
      <c r="AX42" s="21">
        <f t="shared" si="6"/>
        <v>23.041036123467251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135.94285714285709</v>
      </c>
      <c r="BF42" s="13">
        <f t="shared" si="37"/>
        <v>35.365986273808367</v>
      </c>
      <c r="BG42" s="20">
        <f t="shared" si="7"/>
        <v>298.36290228402567</v>
      </c>
      <c r="BH42" s="59">
        <f t="shared" si="8"/>
        <v>545.37229937413281</v>
      </c>
      <c r="BI42" s="59">
        <f ca="1">AVERAGE(OFFSET($BH$3,0,0,'Données projet'!$E$11+1,1))-AVERAGE(OFFSET($H$3,0,0,'Données projet'!$E$11+1,1))</f>
        <v>308.85018589589453</v>
      </c>
      <c r="BJ42" s="59">
        <f t="shared" si="38"/>
        <v>302.59481222418219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6.0554223196209112</v>
      </c>
      <c r="BQ42" s="21">
        <f>EXP(-LN(2)/25)*BQ41+(1-EXP(-LN(2)/25))/(LN(2)/25)*Calculateur!BL42*Calculateur!BN42*VLOOKUP('Données projet'!$B$11,Paramètres!$A$1:$I$89,3,0)*0.475*44/12</f>
        <v>9.003465534526935</v>
      </c>
      <c r="BR42" s="21">
        <f>EXP(-LN(2)/2)*BR41+(1-EXP(-LN(2)/2))/(LN(2)/2)*BL42*BO42*VLOOKUP('Données projet'!$B$11,Paramètres!$A$1:$I$89,3,0)*0.475*44/12</f>
        <v>3.7710490658449487</v>
      </c>
      <c r="BS42" s="22">
        <f t="shared" si="9"/>
        <v>18.829936919992797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11.142857142857142</v>
      </c>
      <c r="BY42" s="12">
        <f>IF('Données projet'!$A$114&gt;35,BY41+BX42-CG41,IF(A42&lt;'Données projet'!$A$114,$BV$205^A42,IF(A42='Données projet'!$A$114,'Données projet'!$B$114,BY41+BX42-CG41)))</f>
        <v>174.28571428571422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3.7828000000000035</v>
      </c>
      <c r="CT42" s="12">
        <f>IF('Données projet'!$A$140&gt;35,CT41+CS42-DB41,IF(A42&lt;'Données projet'!$A$140,$CQ$205^A42,IF(A42='Données projet'!$A$140,'Données projet'!$B$140,CT41+CS42-DB41)))</f>
        <v>94.148600000000059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680.96597332684223</v>
      </c>
      <c r="S43" s="59">
        <f ca="1">AVERAGE(OFFSET($R$3,0,0,'Données projet'!$E$9+1,1))-AVERAGE(OFFSET($H$3,0,0,'Données projet'!$E$9+1,1))</f>
        <v>737.40414421611001</v>
      </c>
      <c r="T43" s="59">
        <f t="shared" si="34"/>
        <v>245.32893490531674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181.39680000000001</v>
      </c>
      <c r="AK43" s="13">
        <f t="shared" si="35"/>
        <v>45.63280848550832</v>
      </c>
      <c r="AL43" s="20">
        <f t="shared" si="4"/>
        <v>395.40990144559368</v>
      </c>
      <c r="AM43" s="59">
        <f t="shared" si="5"/>
        <v>643.22291526471452</v>
      </c>
      <c r="AN43" s="59">
        <f ca="1">AVERAGE(OFFSET($AM$3,0,0,'Données projet'!$E$10+1,1))-AVERAGE(OFFSET($H$3,0,0,'Données projet'!$E$10+1,1))</f>
        <v>377.28055430105911</v>
      </c>
      <c r="AO43" s="59">
        <f t="shared" si="36"/>
        <v>364.58250627635425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0.13250000000000001</v>
      </c>
      <c r="AS43" s="16">
        <f>IF(ISNA(VLOOKUP(A43,'Données projet'!$A$61:$I$81,6,0)),0%,VLOOKUP(A43,'Données projet'!$A$61:$I$81,6,0)*VLOOKUP('Données projet'!$B$10,Paramètres!$A$1:$I$89,7,0))</f>
        <v>0.13250000000000001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11.118880475259491</v>
      </c>
      <c r="AV43" s="21">
        <f>EXP(-LN(2)/25)*AV42+(1-EXP(-LN(2)/25))/(LN(2)/25)*Calculateur!AQ43*Calculateur!AS43*VLOOKUP('Données projet'!$B$10,Paramètres!$A$1:$I$89,3,0)*0.475*44/12</f>
        <v>17.549368570241725</v>
      </c>
      <c r="AW43" s="21">
        <f>EXP(-LN(2)/2)*AW42+(1-EXP(-LN(2)/2))/(LN(2)/2)*AQ43*AT43*VLOOKUP('Données projet'!$B$10,Paramètres!$A$1:$I$89,3,0)*0.475*44/12</f>
        <v>7.9784939473462853</v>
      </c>
      <c r="AX43" s="21">
        <f t="shared" si="6"/>
        <v>36.6467429928475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144.63428571428565</v>
      </c>
      <c r="BF43" s="13">
        <f t="shared" si="37"/>
        <v>37.356634728420524</v>
      </c>
      <c r="BG43" s="20">
        <f t="shared" si="7"/>
        <v>316.96751977104657</v>
      </c>
      <c r="BH43" s="59">
        <f t="shared" si="8"/>
        <v>564.78053359016735</v>
      </c>
      <c r="BI43" s="59">
        <f ca="1">AVERAGE(OFFSET($BH$3,0,0,'Données projet'!$E$11+1,1))-AVERAGE(OFFSET($H$3,0,0,'Données projet'!$E$11+1,1))</f>
        <v>308.85018589589453</v>
      </c>
      <c r="BJ43" s="59">
        <f t="shared" si="38"/>
        <v>302.59481222418219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5.9366791813760624</v>
      </c>
      <c r="BQ43" s="21">
        <f>EXP(-LN(2)/25)*BQ42+(1-EXP(-LN(2)/25))/(LN(2)/25)*Calculateur!BL43*Calculateur!BN43*VLOOKUP('Données projet'!$B$11,Paramètres!$A$1:$I$89,3,0)*0.475*44/12</f>
        <v>8.757265296013621</v>
      </c>
      <c r="BR43" s="21">
        <f>EXP(-LN(2)/2)*BR42+(1-EXP(-LN(2)/2))/(LN(2)/2)*BL43*BO43*VLOOKUP('Données projet'!$B$11,Paramètres!$A$1:$I$89,3,0)*0.475*44/12</f>
        <v>2.6665343666461587</v>
      </c>
      <c r="BS43" s="22">
        <f t="shared" si="9"/>
        <v>17.360478844035843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11.142857142857142</v>
      </c>
      <c r="BY43" s="12">
        <f>IF('Données projet'!$A$114&gt;35,BY42+BX43-CG42,IF(A43&lt;'Données projet'!$A$114,$BV$205^A43,IF(A43='Données projet'!$A$114,'Données projet'!$B$114,BY42+BX43-CG42)))</f>
        <v>185.42857142857136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3.7828000000000035</v>
      </c>
      <c r="CT43" s="12">
        <f>IF('Données projet'!$A$140&gt;35,CT42+CS43-DB42,IF(A43&lt;'Données projet'!$A$140,$CQ$205^A43,IF(A43='Données projet'!$A$140,'Données projet'!$B$140,CT42+CS43-DB42)))</f>
        <v>97.931400000000068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708.56713645799084</v>
      </c>
      <c r="S44" s="59">
        <f ca="1">AVERAGE(OFFSET($R$3,0,0,'Données projet'!$E$9+1,1))-AVERAGE(OFFSET($H$3,0,0,'Données projet'!$E$9+1,1))</f>
        <v>737.40414421611001</v>
      </c>
      <c r="T44" s="59">
        <f t="shared" si="34"/>
        <v>245.32893490531674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202.8</v>
      </c>
      <c r="AJ44" s="13">
        <f>AI44*VLOOKUP('Données projet'!$B$10,Paramètres!$A$1:$I$89,3,0)*VLOOKUP('Données projet'!$B$10,Paramètres!$A$1:$I$89,5,0)</f>
        <v>161.34768000000003</v>
      </c>
      <c r="AK44" s="13">
        <f t="shared" si="35"/>
        <v>41.146339844316657</v>
      </c>
      <c r="AL44" s="20">
        <f t="shared" si="4"/>
        <v>352.6770845621848</v>
      </c>
      <c r="AM44" s="59">
        <f t="shared" si="5"/>
        <v>601.27977415668875</v>
      </c>
      <c r="AN44" s="59">
        <f ca="1">AVERAGE(OFFSET($AM$3,0,0,'Données projet'!$E$10+1,1))-AVERAGE(OFFSET($H$3,0,0,'Données projet'!$E$10+1,1))</f>
        <v>377.28055430105911</v>
      </c>
      <c r="AO44" s="59">
        <f t="shared" si="36"/>
        <v>364.58250627635425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10.90084601098709</v>
      </c>
      <c r="AV44" s="21">
        <f>EXP(-LN(2)/25)*AV43+(1-EXP(-LN(2)/25))/(LN(2)/25)*Calculateur!AQ44*Calculateur!AS44*VLOOKUP('Données projet'!$B$10,Paramètres!$A$1:$I$89,3,0)*0.475*44/12</f>
        <v>17.069480163807281</v>
      </c>
      <c r="AW44" s="21">
        <f>EXP(-LN(2)/2)*AW43+(1-EXP(-LN(2)/2))/(LN(2)/2)*AQ44*AT44*VLOOKUP('Données projet'!$B$10,Paramètres!$A$1:$I$89,3,0)*0.475*44/12</f>
        <v>5.6416471738243841</v>
      </c>
      <c r="AX44" s="21">
        <f t="shared" si="6"/>
        <v>33.611973348618754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153.32571428571424</v>
      </c>
      <c r="BF44" s="13">
        <f t="shared" si="37"/>
        <v>39.333398837614155</v>
      </c>
      <c r="BG44" s="20">
        <f t="shared" si="7"/>
        <v>335.5479553564636</v>
      </c>
      <c r="BH44" s="59">
        <f t="shared" si="8"/>
        <v>584.1506449509676</v>
      </c>
      <c r="BI44" s="59">
        <f ca="1">AVERAGE(OFFSET($BH$3,0,0,'Données projet'!$E$11+1,1))-AVERAGE(OFFSET($H$3,0,0,'Données projet'!$E$11+1,1))</f>
        <v>308.85018589589453</v>
      </c>
      <c r="BJ44" s="59">
        <f t="shared" si="38"/>
        <v>302.59481222418219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5.8202645236460331</v>
      </c>
      <c r="BQ44" s="21">
        <f>EXP(-LN(2)/25)*BQ43+(1-EXP(-LN(2)/25))/(LN(2)/25)*Calculateur!BL44*Calculateur!BN44*VLOOKUP('Données projet'!$B$11,Paramètres!$A$1:$I$89,3,0)*0.475*44/12</f>
        <v>8.5177974159695609</v>
      </c>
      <c r="BR44" s="21">
        <f>EXP(-LN(2)/2)*BR43+(1-EXP(-LN(2)/2))/(LN(2)/2)*BL44*BO44*VLOOKUP('Données projet'!$B$11,Paramètres!$A$1:$I$89,3,0)*0.475*44/12</f>
        <v>1.8855245329224746</v>
      </c>
      <c r="BS44" s="22">
        <f t="shared" si="9"/>
        <v>16.22358647253807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11.142857142857142</v>
      </c>
      <c r="BY44" s="12">
        <f>IF('Données projet'!$A$114&gt;35,BY43+BX44-CG43,IF(A44&lt;'Données projet'!$A$114,$BV$205^A44,IF(A44='Données projet'!$A$114,'Données projet'!$B$114,BY43+BX44-CG43)))</f>
        <v>196.5714285714285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3.7828000000000035</v>
      </c>
      <c r="CT44" s="12">
        <f>IF('Données projet'!$A$140&gt;35,CT43+CS44-DB43,IF(A44&lt;'Données projet'!$A$140,$CQ$205^A44,IF(A44='Données projet'!$A$140,'Données projet'!$B$140,CT43+CS44-DB43)))</f>
        <v>101.71420000000008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736.12125218775577</v>
      </c>
      <c r="S45" s="59">
        <f ca="1">AVERAGE(OFFSET($R$3,0,0,'Données projet'!$E$9+1,1))-AVERAGE(OFFSET($H$3,0,0,'Données projet'!$E$9+1,1))</f>
        <v>737.40414421611001</v>
      </c>
      <c r="T45" s="59">
        <f t="shared" si="34"/>
        <v>245.32893490531674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212.60000000000002</v>
      </c>
      <c r="AJ45" s="13">
        <f>AI45*VLOOKUP('Données projet'!$B$10,Paramètres!$A$1:$I$89,3,0)*VLOOKUP('Données projet'!$B$10,Paramètres!$A$1:$I$89,5,0)</f>
        <v>169.14456000000004</v>
      </c>
      <c r="AK45" s="13">
        <f t="shared" si="35"/>
        <v>42.898377267189964</v>
      </c>
      <c r="AL45" s="20">
        <f t="shared" si="4"/>
        <v>369.30811574035596</v>
      </c>
      <c r="AM45" s="59">
        <f t="shared" si="5"/>
        <v>618.68678200099066</v>
      </c>
      <c r="AN45" s="59">
        <f ca="1">AVERAGE(OFFSET($AM$3,0,0,'Données projet'!$E$10+1,1))-AVERAGE(OFFSET($H$3,0,0,'Données projet'!$E$10+1,1))</f>
        <v>377.28055430105911</v>
      </c>
      <c r="AO45" s="59">
        <f t="shared" si="36"/>
        <v>364.58250627635425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10.687087069571179</v>
      </c>
      <c r="AV45" s="21">
        <f>EXP(-LN(2)/25)*AV44+(1-EXP(-LN(2)/25))/(LN(2)/25)*Calculateur!AQ45*Calculateur!AS45*VLOOKUP('Données projet'!$B$10,Paramètres!$A$1:$I$89,3,0)*0.475*44/12</f>
        <v>16.602714331083021</v>
      </c>
      <c r="AW45" s="21">
        <f>EXP(-LN(2)/2)*AW44+(1-EXP(-LN(2)/2))/(LN(2)/2)*AQ45*AT45*VLOOKUP('Données projet'!$B$10,Paramètres!$A$1:$I$89,3,0)*0.475*44/12</f>
        <v>3.9892469736731431</v>
      </c>
      <c r="AX45" s="21">
        <f t="shared" si="6"/>
        <v>31.279048374327342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162.0171428571428</v>
      </c>
      <c r="BF45" s="13">
        <f t="shared" si="37"/>
        <v>41.29715533509664</v>
      </c>
      <c r="BG45" s="20">
        <f t="shared" si="7"/>
        <v>354.10573601815037</v>
      </c>
      <c r="BH45" s="59">
        <f t="shared" si="8"/>
        <v>603.48440227878507</v>
      </c>
      <c r="BI45" s="59">
        <f ca="1">AVERAGE(OFFSET($BH$3,0,0,'Données projet'!$E$11+1,1))-AVERAGE(OFFSET($H$3,0,0,'Données projet'!$E$11+1,1))</f>
        <v>308.85018589589453</v>
      </c>
      <c r="BJ45" s="59">
        <f t="shared" si="38"/>
        <v>302.59481222418219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5.706132686348159</v>
      </c>
      <c r="BQ45" s="21">
        <f>EXP(-LN(2)/25)*BQ44+(1-EXP(-LN(2)/25))/(LN(2)/25)*Calculateur!BL45*Calculateur!BN45*VLOOKUP('Données projet'!$B$11,Paramètres!$A$1:$I$89,3,0)*0.475*44/12</f>
        <v>8.2848777976983747</v>
      </c>
      <c r="BR45" s="21">
        <f>EXP(-LN(2)/2)*BR44+(1-EXP(-LN(2)/2))/(LN(2)/2)*BL45*BO45*VLOOKUP('Données projet'!$B$11,Paramètres!$A$1:$I$89,3,0)*0.475*44/12</f>
        <v>1.3332671833230796</v>
      </c>
      <c r="BS45" s="22">
        <f t="shared" si="9"/>
        <v>15.324277667369614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11.142857142857142</v>
      </c>
      <c r="BY45" s="12">
        <f>IF('Données projet'!$A$114&gt;35,BY44+BX45-CG44,IF(A45&lt;'Données projet'!$A$114,$BV$205^A45,IF(A45='Données projet'!$A$114,'Données projet'!$B$114,BY44+BX45-CG44)))</f>
        <v>207.71428571428564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3.7828000000000035</v>
      </c>
      <c r="CT45" s="12">
        <f>IF('Données projet'!$A$140&gt;35,CT44+CS45-DB44,IF(A45&lt;'Données projet'!$A$140,$CQ$205^A45,IF(A45='Données projet'!$A$140,'Données projet'!$B$140,CT44+CS45-DB44)))</f>
        <v>105.49700000000009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652.8275615798359</v>
      </c>
      <c r="S46" s="59">
        <f ca="1">AVERAGE(OFFSET($R$3,0,0,'Données projet'!$E$9+1,1))-AVERAGE(OFFSET($H$3,0,0,'Données projet'!$E$9+1,1))</f>
        <v>737.40414421611001</v>
      </c>
      <c r="T46" s="59">
        <f t="shared" si="34"/>
        <v>245.32893490531674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222.40000000000003</v>
      </c>
      <c r="AJ46" s="13">
        <f>AI46*VLOOKUP('Données projet'!$B$10,Paramètres!$A$1:$I$89,3,0)*VLOOKUP('Données projet'!$B$10,Paramètres!$A$1:$I$89,5,0)</f>
        <v>176.94144000000003</v>
      </c>
      <c r="AK46" s="13">
        <f t="shared" si="35"/>
        <v>44.641035679901449</v>
      </c>
      <c r="AL46" s="20">
        <f t="shared" si="4"/>
        <v>385.92281180916171</v>
      </c>
      <c r="AM46" s="59">
        <f t="shared" si="5"/>
        <v>636.0639932755937</v>
      </c>
      <c r="AN46" s="59">
        <f ca="1">AVERAGE(OFFSET($AM$3,0,0,'Données projet'!$E$10+1,1))-AVERAGE(OFFSET($H$3,0,0,'Données projet'!$E$10+1,1))</f>
        <v>377.28055430105911</v>
      </c>
      <c r="AO46" s="59">
        <f t="shared" si="36"/>
        <v>364.58250627635425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10.477519810616354</v>
      </c>
      <c r="AV46" s="21">
        <f>EXP(-LN(2)/25)*AV45+(1-EXP(-LN(2)/25))/(LN(2)/25)*Calculateur!AQ46*Calculateur!AS46*VLOOKUP('Données projet'!$B$10,Paramètres!$A$1:$I$89,3,0)*0.475*44/12</f>
        <v>16.148712234600755</v>
      </c>
      <c r="AW46" s="21">
        <f>EXP(-LN(2)/2)*AW45+(1-EXP(-LN(2)/2))/(LN(2)/2)*AQ46*AT46*VLOOKUP('Données projet'!$B$10,Paramètres!$A$1:$I$89,3,0)*0.475*44/12</f>
        <v>2.8208235869121925</v>
      </c>
      <c r="AX46" s="21">
        <f t="shared" si="6"/>
        <v>29.447055632129299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170.70857142857136</v>
      </c>
      <c r="BF46" s="13">
        <f t="shared" si="37"/>
        <v>43.248681576985376</v>
      </c>
      <c r="BG46" s="20">
        <f t="shared" si="7"/>
        <v>372.64221565134466</v>
      </c>
      <c r="BH46" s="59">
        <f t="shared" si="8"/>
        <v>622.78339711777676</v>
      </c>
      <c r="BI46" s="59">
        <f ca="1">AVERAGE(OFFSET($BH$3,0,0,'Données projet'!$E$11+1,1))-AVERAGE(OFFSET($H$3,0,0,'Données projet'!$E$11+1,1))</f>
        <v>308.85018589589453</v>
      </c>
      <c r="BJ46" s="59">
        <f t="shared" si="38"/>
        <v>302.59481222418219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5.5942389047661498</v>
      </c>
      <c r="BQ46" s="21">
        <f>EXP(-LN(2)/25)*BQ45+(1-EXP(-LN(2)/25))/(LN(2)/25)*Calculateur!BL46*Calculateur!BN46*VLOOKUP('Données projet'!$B$11,Paramètres!$A$1:$I$89,3,0)*0.475*44/12</f>
        <v>8.0583273786375251</v>
      </c>
      <c r="BR46" s="21">
        <f>EXP(-LN(2)/2)*BR45+(1-EXP(-LN(2)/2))/(LN(2)/2)*BL46*BO46*VLOOKUP('Données projet'!$B$11,Paramètres!$A$1:$I$89,3,0)*0.475*44/12</f>
        <v>0.9427622664612374</v>
      </c>
      <c r="BS46" s="22">
        <f t="shared" si="9"/>
        <v>14.595328549864913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11.142857142857142</v>
      </c>
      <c r="BY46" s="12">
        <f>IF('Données projet'!$A$114&gt;35,BY45+BX46-CG45,IF(A46&lt;'Données projet'!$A$114,$BV$205^A46,IF(A46='Données projet'!$A$114,'Données projet'!$B$114,BY45+BX46-CG45)))</f>
        <v>218.85714285714278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3.7828000000000035</v>
      </c>
      <c r="CT46" s="12">
        <f>IF('Données projet'!$A$140&gt;35,CT45+CS46-DB45,IF(A46&lt;'Données projet'!$A$140,$CQ$205^A46,IF(A46='Données projet'!$A$140,'Données projet'!$B$140,CT45+CS46-DB45)))</f>
        <v>109.27980000000009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681.18852221667578</v>
      </c>
      <c r="S47" s="59">
        <f ca="1">AVERAGE(OFFSET($R$3,0,0,'Données projet'!$E$9+1,1))-AVERAGE(OFFSET($H$3,0,0,'Données projet'!$E$9+1,1))</f>
        <v>737.40414421611001</v>
      </c>
      <c r="T47" s="59">
        <f t="shared" si="34"/>
        <v>245.32893490531674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232.20000000000005</v>
      </c>
      <c r="AJ47" s="13">
        <f>AI47*VLOOKUP('Données projet'!$B$10,Paramètres!$A$1:$I$89,3,0)*VLOOKUP('Données projet'!$B$10,Paramètres!$A$1:$I$89,5,0)</f>
        <v>184.73832000000004</v>
      </c>
      <c r="AK47" s="13">
        <f t="shared" si="35"/>
        <v>46.374775595471988</v>
      </c>
      <c r="AL47" s="20">
        <f t="shared" si="4"/>
        <v>402.52197482878046</v>
      </c>
      <c r="AM47" s="59">
        <f t="shared" si="5"/>
        <v>653.41244356691789</v>
      </c>
      <c r="AN47" s="59">
        <f ca="1">AVERAGE(OFFSET($AM$3,0,0,'Données projet'!$E$10+1,1))-AVERAGE(OFFSET($H$3,0,0,'Données projet'!$E$10+1,1))</f>
        <v>377.28055430105911</v>
      </c>
      <c r="AO47" s="59">
        <f t="shared" si="36"/>
        <v>364.58250627635425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10.272062037786226</v>
      </c>
      <c r="AV47" s="21">
        <f>EXP(-LN(2)/25)*AV46+(1-EXP(-LN(2)/25))/(LN(2)/25)*Calculateur!AQ47*Calculateur!AS47*VLOOKUP('Données projet'!$B$10,Paramètres!$A$1:$I$89,3,0)*0.475*44/12</f>
        <v>15.70712484932173</v>
      </c>
      <c r="AW47" s="21">
        <f>EXP(-LN(2)/2)*AW46+(1-EXP(-LN(2)/2))/(LN(2)/2)*AQ47*AT47*VLOOKUP('Données projet'!$B$10,Paramètres!$A$1:$I$89,3,0)*0.475*44/12</f>
        <v>1.994623486836572</v>
      </c>
      <c r="AX47" s="21">
        <f t="shared" si="6"/>
        <v>27.973810373944531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179.39999999999995</v>
      </c>
      <c r="BF47" s="13">
        <f t="shared" si="37"/>
        <v>45.188671291872232</v>
      </c>
      <c r="BG47" s="20">
        <f t="shared" si="7"/>
        <v>391.15860250001066</v>
      </c>
      <c r="BH47" s="59">
        <f t="shared" si="8"/>
        <v>642.04907123814814</v>
      </c>
      <c r="BI47" s="59">
        <f ca="1">AVERAGE(OFFSET($BH$3,0,0,'Données projet'!$E$11+1,1))-AVERAGE(OFFSET($H$3,0,0,'Données projet'!$E$11+1,1))</f>
        <v>308.85018589589453</v>
      </c>
      <c r="BJ47" s="59">
        <f t="shared" si="38"/>
        <v>302.59481222418219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0.1075</v>
      </c>
      <c r="BN47" s="16">
        <f>IF(ISNA(VLOOKUP(A47,'Données projet'!$A$87:$I$107,6,0)),0%,VLOOKUP(A47,'Données projet'!$A$87:$I$107,6,0)*VLOOKUP('Données projet'!$B$11,Paramètres!$A$1:$I$89,7,0))</f>
        <v>0.1075</v>
      </c>
      <c r="BO47" s="16">
        <f>IF(ISNA(VLOOKUP(A47,'Données projet'!$A$87:$I$107,7,0)),0%,VLOOKUP(A47,'Données projet'!$A$87:$I$107,7,0))</f>
        <v>0.25</v>
      </c>
      <c r="BP47" s="21">
        <f>EXP(-LN(2)/35)*BP46+(1-EXP(-LN(2)/35))/(LN(2)/35)*BL47*BM47*VLOOKUP('Données projet'!$B$11,Paramètres!$A$1:$I$89,3,0)*0.475*44/12</f>
        <v>9.4703680189175241</v>
      </c>
      <c r="BQ47" s="21">
        <f>EXP(-LN(2)/25)*BQ46+(1-EXP(-LN(2)/25))/(LN(2)/25)*Calculateur!BL47*Calculateur!BN47*VLOOKUP('Données projet'!$B$11,Paramètres!$A$1:$I$89,3,0)*0.475*44/12</f>
        <v>11.808106993206977</v>
      </c>
      <c r="BR47" s="21">
        <f>EXP(-LN(2)/2)*BR46+(1-EXP(-LN(2)/2))/(LN(2)/2)*BL47*BO47*VLOOKUP('Données projet'!$B$11,Paramètres!$A$1:$I$89,3,0)*0.475*44/12</f>
        <v>8.5781067706277199</v>
      </c>
      <c r="BS47" s="22">
        <f t="shared" si="9"/>
        <v>29.856581782752222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230</v>
      </c>
      <c r="BW47" s="12">
        <f>VLOOKUP(A47,'Données projet'!$A$113:$I$133,9,0)</f>
        <v>11.142857142857142</v>
      </c>
      <c r="BX47" s="12">
        <f t="array" ref="BX47">INDEX(BW:BW,MIN(IF(ISNUMBER(BW47:BW243),ROW(BW47:BW243),"")))</f>
        <v>11.142857142857142</v>
      </c>
      <c r="BY47" s="12">
        <f>IF('Données projet'!$A$114&gt;35,BY46+BX47-CG46,IF(A47&lt;'Données projet'!$A$114,$BV$205^A47,IF(A47='Données projet'!$A$114,'Données projet'!$B$114,BY46+BX47-CG46)))</f>
        <v>229.99999999999991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43</v>
      </c>
      <c r="CH47" s="16" t="e">
        <f>IF(ISNA(VLOOKUP(A47,'Données projet'!$A$113:$I$133,5,0)),0%,VLOOKUP(A47,'Données projet'!$A$113:$I$133,5,0)*VLOOKUP('Données projet'!$B$12,Paramètres!$A$1:$I$89,7,0))</f>
        <v>#N/A</v>
      </c>
      <c r="CI47" s="16" t="e">
        <f>IF(ISNA(VLOOKUP(A47,'Données projet'!$A$113:$I$133,6,0)),0%,VLOOKUP(A47,'Données projet'!$A$113:$I$133,6,0)*VLOOKUP('Données projet'!$B$12,Paramètres!$A$1:$I$89,7,0))</f>
        <v>#N/A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113.06260000000002</v>
      </c>
      <c r="CR47" s="12">
        <f>VLOOKUP(A47,'Données projet'!$A$139:$I$159,9,0)</f>
        <v>3.7828000000000035</v>
      </c>
      <c r="CS47" s="12">
        <f t="array" ref="CS47">INDEX(CR:CR,MIN(IF(ISNUMBER(CR47:CR243),ROW(CR47:CR243),"")))</f>
        <v>3.7828000000000035</v>
      </c>
      <c r="CT47" s="12">
        <f>IF('Données projet'!$A$140&gt;35,CT46+CS47-DB46,IF(A47&lt;'Données projet'!$A$140,$CQ$205^A47,IF(A47='Données projet'!$A$140,'Données projet'!$B$140,CT46+CS47-DB46)))</f>
        <v>113.0626000000001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2</v>
      </c>
      <c r="DB47" s="15">
        <f>IF(ISNA(VLOOKUP(A47,'Données projet'!$A$139:$I$159,4,0)),0,VLOOKUP(A47,'Données projet'!$A$139:$I$159,4,0))</f>
        <v>0</v>
      </c>
      <c r="DC47" s="16" t="e">
        <f>IF(ISNA(VLOOKUP(A47,'Données projet'!$A$139:$I$159,5,0)),0%,VLOOKUP(A47,'Données projet'!$A$139:$I$159,5,0)*VLOOKUP('Données projet'!$B$13,Paramètres!$A$1:$I$89,7,0))</f>
        <v>#N/A</v>
      </c>
      <c r="DD47" s="16" t="e">
        <f>IF(ISNA(VLOOKUP(A47,'Données projet'!$A$139:$I$159,6,0)),0%,VLOOKUP(A47,'Données projet'!$A$139:$I$159,6,0)*VLOOKUP('Données projet'!$B$13,Paramètres!$A$1:$I$89,7,0))</f>
        <v>#N/A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709.49842420051903</v>
      </c>
      <c r="S48" s="59">
        <f ca="1">AVERAGE(OFFSET($R$3,0,0,'Données projet'!$E$9+1,1))-AVERAGE(OFFSET($H$3,0,0,'Données projet'!$E$9+1,1))</f>
        <v>737.40414421611001</v>
      </c>
      <c r="T48" s="59">
        <f t="shared" si="34"/>
        <v>245.32893490531674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242.00000000000006</v>
      </c>
      <c r="AJ48" s="13">
        <f>AI48*VLOOKUP('Données projet'!$B$10,Paramètres!$A$1:$I$89,3,0)*VLOOKUP('Données projet'!$B$10,Paramètres!$A$1:$I$89,5,0)</f>
        <v>192.53520000000006</v>
      </c>
      <c r="AK48" s="13">
        <f t="shared" si="35"/>
        <v>48.100016456123079</v>
      </c>
      <c r="AL48" s="20">
        <f t="shared" si="4"/>
        <v>419.10633532774779</v>
      </c>
      <c r="AM48" s="59">
        <f t="shared" si="5"/>
        <v>670.73309287858194</v>
      </c>
      <c r="AN48" s="59">
        <f ca="1">AVERAGE(OFFSET($AM$3,0,0,'Données projet'!$E$10+1,1))-AVERAGE(OFFSET($H$3,0,0,'Données projet'!$E$10+1,1))</f>
        <v>377.28055430105911</v>
      </c>
      <c r="AO48" s="59">
        <f t="shared" si="36"/>
        <v>364.58250627635425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0.13250000000000001</v>
      </c>
      <c r="AS48" s="16">
        <f>IF(ISNA(VLOOKUP(A48,'Données projet'!$A$61:$I$81,6,0)),0%,VLOOKUP(A48,'Données projet'!$A$61:$I$81,6,0)*VLOOKUP('Données projet'!$B$10,Paramètres!$A$1:$I$89,7,0))</f>
        <v>0.13250000000000001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12.867482070545831</v>
      </c>
      <c r="AV48" s="21">
        <f>EXP(-LN(2)/25)*AV47+(1-EXP(-LN(2)/25))/(LN(2)/25)*Calculateur!AQ48*Calculateur!AS48*VLOOKUP('Données projet'!$B$10,Paramètres!$A$1:$I$89,3,0)*0.475*44/12</f>
        <v>18.063449338478677</v>
      </c>
      <c r="AW48" s="21">
        <f>EXP(-LN(2)/2)*AW47+(1-EXP(-LN(2)/2))/(LN(2)/2)*AQ48*AT48*VLOOKUP('Données projet'!$B$10,Paramètres!$A$1:$I$89,3,0)*0.475*44/12</f>
        <v>5.914431873016377</v>
      </c>
      <c r="AX48" s="21">
        <f t="shared" si="6"/>
        <v>36.845363282040886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153.95249999999993</v>
      </c>
      <c r="BF48" s="13">
        <f t="shared" si="37"/>
        <v>39.475441267837361</v>
      </c>
      <c r="BG48" s="20">
        <f t="shared" si="7"/>
        <v>336.88699770814992</v>
      </c>
      <c r="BH48" s="59">
        <f t="shared" si="8"/>
        <v>588.51375525898402</v>
      </c>
      <c r="BI48" s="59">
        <f ca="1">AVERAGE(OFFSET($BH$3,0,0,'Données projet'!$E$11+1,1))-AVERAGE(OFFSET($H$3,0,0,'Données projet'!$E$11+1,1))</f>
        <v>308.85018589589453</v>
      </c>
      <c r="BJ48" s="59">
        <f t="shared" si="38"/>
        <v>302.59481222418219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9.2846598784206762</v>
      </c>
      <c r="BQ48" s="21">
        <f>EXP(-LN(2)/25)*BQ47+(1-EXP(-LN(2)/25))/(LN(2)/25)*Calculateur!BL48*Calculateur!BN48*VLOOKUP('Données projet'!$B$11,Paramètres!$A$1:$I$89,3,0)*0.475*44/12</f>
        <v>11.485213686516373</v>
      </c>
      <c r="BR48" s="21">
        <f>EXP(-LN(2)/2)*BR47+(1-EXP(-LN(2)/2))/(LN(2)/2)*BL48*BO48*VLOOKUP('Données projet'!$B$11,Paramètres!$A$1:$I$89,3,0)*0.475*44/12</f>
        <v>6.0656374672530973</v>
      </c>
      <c r="BS48" s="22">
        <f t="shared" si="9"/>
        <v>26.835511032190148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10.375</v>
      </c>
      <c r="BY48" s="12">
        <f>IF('Données projet'!$A$114&gt;35,BY47+BX48-CG47,IF(A48&lt;'Données projet'!$A$114,$BV$205^A48,IF(A48='Données projet'!$A$114,'Données projet'!$B$114,BY47+BX48-CG47)))</f>
        <v>197.37499999999991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1.7421749999999978</v>
      </c>
      <c r="CT48" s="12">
        <f>IF('Données projet'!$A$140&gt;35,CT47+CS48-DB47,IF(A48&lt;'Données projet'!$A$140,$CQ$205^A48,IF(A48='Données projet'!$A$140,'Données projet'!$B$140,CT47+CS48-DB47)))</f>
        <v>114.80477500000011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737.76010460037219</v>
      </c>
      <c r="S49" s="59">
        <f ca="1">AVERAGE(OFFSET($R$3,0,0,'Données projet'!$E$9+1,1))-AVERAGE(OFFSET($H$3,0,0,'Données projet'!$E$9+1,1))</f>
        <v>737.40414421611001</v>
      </c>
      <c r="T49" s="59">
        <f t="shared" si="34"/>
        <v>245.32893490531674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226.60000000000005</v>
      </c>
      <c r="AJ49" s="13">
        <f>AI49*VLOOKUP('Données projet'!$B$10,Paramètres!$A$1:$I$89,3,0)*VLOOKUP('Données projet'!$B$10,Paramètres!$A$1:$I$89,5,0)</f>
        <v>180.28296000000006</v>
      </c>
      <c r="AK49" s="13">
        <f t="shared" si="35"/>
        <v>45.385133797071397</v>
      </c>
      <c r="AL49" s="20">
        <f t="shared" si="4"/>
        <v>393.03859669656612</v>
      </c>
      <c r="AM49" s="59">
        <f t="shared" si="5"/>
        <v>645.38887009529174</v>
      </c>
      <c r="AN49" s="59">
        <f ca="1">AVERAGE(OFFSET($AM$3,0,0,'Données projet'!$E$10+1,1))-AVERAGE(OFFSET($H$3,0,0,'Données projet'!$E$10+1,1))</f>
        <v>377.28055430105911</v>
      </c>
      <c r="AO49" s="59">
        <f t="shared" si="36"/>
        <v>364.58250627635425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12.615158595531527</v>
      </c>
      <c r="AV49" s="21">
        <f>EXP(-LN(2)/25)*AV48+(1-EXP(-LN(2)/25))/(LN(2)/25)*Calculateur!AQ49*Calculateur!AS49*VLOOKUP('Données projet'!$B$10,Paramètres!$A$1:$I$89,3,0)*0.475*44/12</f>
        <v>17.569503366402461</v>
      </c>
      <c r="AW49" s="21">
        <f>EXP(-LN(2)/2)*AW48+(1-EXP(-LN(2)/2))/(LN(2)/2)*AQ49*AT49*VLOOKUP('Données projet'!$B$10,Paramètres!$A$1:$I$89,3,0)*0.475*44/12</f>
        <v>4.182134884275734</v>
      </c>
      <c r="AX49" s="21">
        <f t="shared" si="6"/>
        <v>34.366796846209724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162.04499999999993</v>
      </c>
      <c r="BF49" s="13">
        <f t="shared" si="37"/>
        <v>41.303429372463391</v>
      </c>
      <c r="BG49" s="20">
        <f t="shared" si="7"/>
        <v>354.16518115704025</v>
      </c>
      <c r="BH49" s="59">
        <f t="shared" si="8"/>
        <v>606.51545455576593</v>
      </c>
      <c r="BI49" s="59">
        <f ca="1">AVERAGE(OFFSET($BH$3,0,0,'Données projet'!$E$11+1,1))-AVERAGE(OFFSET($H$3,0,0,'Données projet'!$E$11+1,1))</f>
        <v>308.85018589589453</v>
      </c>
      <c r="BJ49" s="59">
        <f t="shared" si="38"/>
        <v>302.59481222418219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9.1025933612881893</v>
      </c>
      <c r="BQ49" s="21">
        <f>EXP(-LN(2)/25)*BQ48+(1-EXP(-LN(2)/25))/(LN(2)/25)*Calculateur!BL49*Calculateur!BN49*VLOOKUP('Données projet'!$B$11,Paramètres!$A$1:$I$89,3,0)*0.475*44/12</f>
        <v>11.171149914277445</v>
      </c>
      <c r="BR49" s="21">
        <f>EXP(-LN(2)/2)*BR48+(1-EXP(-LN(2)/2))/(LN(2)/2)*BL49*BO49*VLOOKUP('Données projet'!$B$11,Paramètres!$A$1:$I$89,3,0)*0.475*44/12</f>
        <v>4.2890533853138608</v>
      </c>
      <c r="BS49" s="22">
        <f t="shared" si="9"/>
        <v>24.562796660879496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10.375</v>
      </c>
      <c r="BY49" s="12">
        <f>IF('Données projet'!$A$114&gt;35,BY48+BX49-CG48,IF(A49&lt;'Données projet'!$A$114,$BV$205^A49,IF(A49='Données projet'!$A$114,'Données projet'!$B$114,BY48+BX49-CG48)))</f>
        <v>207.74999999999991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1.7421749999999978</v>
      </c>
      <c r="CT49" s="12">
        <f>IF('Données projet'!$A$140&gt;35,CT48+CS49-DB48,IF(A49&lt;'Données projet'!$A$140,$CQ$205^A49,IF(A49='Données projet'!$A$140,'Données projet'!$B$140,CT48+CS49-DB48)))</f>
        <v>116.54695000000011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765.97607636279611</v>
      </c>
      <c r="S50" s="59">
        <f ca="1">AVERAGE(OFFSET($R$3,0,0,'Données projet'!$E$9+1,1))-AVERAGE(OFFSET($H$3,0,0,'Données projet'!$E$9+1,1))</f>
        <v>737.40414421611001</v>
      </c>
      <c r="T50" s="59">
        <f t="shared" si="34"/>
        <v>245.32893490531674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235.20000000000005</v>
      </c>
      <c r="AJ50" s="13">
        <f>AI50*VLOOKUP('Données projet'!$B$10,Paramètres!$A$1:$I$89,3,0)*VLOOKUP('Données projet'!$B$10,Paramètres!$A$1:$I$89,5,0)</f>
        <v>187.12512000000004</v>
      </c>
      <c r="AK50" s="13">
        <f t="shared" si="35"/>
        <v>46.903794805770545</v>
      </c>
      <c r="AL50" s="20">
        <f t="shared" si="4"/>
        <v>407.60035995338376</v>
      </c>
      <c r="AM50" s="59">
        <f t="shared" si="5"/>
        <v>660.66159781757915</v>
      </c>
      <c r="AN50" s="59">
        <f ca="1">AVERAGE(OFFSET($AM$3,0,0,'Données projet'!$E$10+1,1))-AVERAGE(OFFSET($H$3,0,0,'Données projet'!$E$10+1,1))</f>
        <v>377.28055430105911</v>
      </c>
      <c r="AO50" s="59">
        <f t="shared" si="36"/>
        <v>364.58250627635425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12.36778302996013</v>
      </c>
      <c r="AV50" s="21">
        <f>EXP(-LN(2)/25)*AV49+(1-EXP(-LN(2)/25))/(LN(2)/25)*Calculateur!AQ50*Calculateur!AS50*VLOOKUP('Données projet'!$B$10,Paramètres!$A$1:$I$89,3,0)*0.475*44/12</f>
        <v>17.089064372908158</v>
      </c>
      <c r="AW50" s="21">
        <f>EXP(-LN(2)/2)*AW49+(1-EXP(-LN(2)/2))/(LN(2)/2)*AQ50*AT50*VLOOKUP('Données projet'!$B$10,Paramètres!$A$1:$I$89,3,0)*0.475*44/12</f>
        <v>2.9572159365081889</v>
      </c>
      <c r="AX50" s="21">
        <f t="shared" si="6"/>
        <v>32.414063339376476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170.13749999999993</v>
      </c>
      <c r="BF50" s="13">
        <f t="shared" si="37"/>
        <v>43.120817562072375</v>
      </c>
      <c r="BG50" s="20">
        <f t="shared" si="7"/>
        <v>371.42490308727588</v>
      </c>
      <c r="BH50" s="59">
        <f t="shared" si="8"/>
        <v>624.48614095147127</v>
      </c>
      <c r="BI50" s="59">
        <f ca="1">AVERAGE(OFFSET($BH$3,0,0,'Données projet'!$E$11+1,1))-AVERAGE(OFFSET($H$3,0,0,'Données projet'!$E$11+1,1))</f>
        <v>308.85018589589453</v>
      </c>
      <c r="BJ50" s="59">
        <f t="shared" si="38"/>
        <v>302.59481222418219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8.9240970575070602</v>
      </c>
      <c r="BQ50" s="21">
        <f>EXP(-LN(2)/25)*BQ49+(1-EXP(-LN(2)/25))/(LN(2)/25)*Calculateur!BL50*Calculateur!BN50*VLOOKUP('Données projet'!$B$11,Paramètres!$A$1:$I$89,3,0)*0.475*44/12</f>
        <v>10.865674232406286</v>
      </c>
      <c r="BR50" s="21">
        <f>EXP(-LN(2)/2)*BR49+(1-EXP(-LN(2)/2))/(LN(2)/2)*BL50*BO50*VLOOKUP('Données projet'!$B$11,Paramètres!$A$1:$I$89,3,0)*0.475*44/12</f>
        <v>3.0328187336265491</v>
      </c>
      <c r="BS50" s="22">
        <f t="shared" si="9"/>
        <v>22.822590023539895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10.375</v>
      </c>
      <c r="BY50" s="12">
        <f>IF('Données projet'!$A$114&gt;35,BY49+BX50-CG49,IF(A50&lt;'Données projet'!$A$114,$BV$205^A50,IF(A50='Données projet'!$A$114,'Données projet'!$B$114,BY49+BX50-CG49)))</f>
        <v>218.12499999999991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1.7421749999999978</v>
      </c>
      <c r="CT50" s="12">
        <f>IF('Données projet'!$A$140&gt;35,CT49+CS50-DB49,IF(A50&lt;'Données projet'!$A$140,$CQ$205^A50,IF(A50='Données projet'!$A$140,'Données projet'!$B$140,CT49+CS50-DB49)))</f>
        <v>118.28912500000011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794.14858305240568</v>
      </c>
      <c r="S51" s="59">
        <f ca="1">AVERAGE(OFFSET($R$3,0,0,'Données projet'!$E$9+1,1))-AVERAGE(OFFSET($H$3,0,0,'Données projet'!$E$9+1,1))</f>
        <v>737.40414421611001</v>
      </c>
      <c r="T51" s="59">
        <f t="shared" si="34"/>
        <v>245.32893490531674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243.80000000000004</v>
      </c>
      <c r="AJ51" s="13">
        <f>AI51*VLOOKUP('Données projet'!$B$10,Paramètres!$A$1:$I$89,3,0)*VLOOKUP('Données projet'!$B$10,Paramètres!$A$1:$I$89,5,0)</f>
        <v>193.96728000000004</v>
      </c>
      <c r="AK51" s="13">
        <f t="shared" si="35"/>
        <v>48.41600442423902</v>
      </c>
      <c r="AL51" s="20">
        <f t="shared" si="4"/>
        <v>422.15088703888301</v>
      </c>
      <c r="AM51" s="59">
        <f t="shared" si="5"/>
        <v>675.91075572455065</v>
      </c>
      <c r="AN51" s="59">
        <f ca="1">AVERAGE(OFFSET($AM$3,0,0,'Données projet'!$E$10+1,1))-AVERAGE(OFFSET($H$3,0,0,'Données projet'!$E$10+1,1))</f>
        <v>377.28055430105911</v>
      </c>
      <c r="AO51" s="59">
        <f t="shared" si="36"/>
        <v>364.58250627635425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12.12525834834539</v>
      </c>
      <c r="AV51" s="21">
        <f>EXP(-LN(2)/25)*AV50+(1-EXP(-LN(2)/25))/(LN(2)/25)*Calculateur!AQ51*Calculateur!AS51*VLOOKUP('Données projet'!$B$10,Paramètres!$A$1:$I$89,3,0)*0.475*44/12</f>
        <v>16.621763008956147</v>
      </c>
      <c r="AW51" s="21">
        <f>EXP(-LN(2)/2)*AW50+(1-EXP(-LN(2)/2))/(LN(2)/2)*AQ51*AT51*VLOOKUP('Données projet'!$B$10,Paramètres!$A$1:$I$89,3,0)*0.475*44/12</f>
        <v>2.0910674421378674</v>
      </c>
      <c r="AX51" s="21">
        <f t="shared" si="6"/>
        <v>30.838088799439404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178.22999999999993</v>
      </c>
      <c r="BF51" s="13">
        <f t="shared" si="37"/>
        <v>44.928167580487852</v>
      </c>
      <c r="BG51" s="20">
        <f t="shared" si="7"/>
        <v>388.66714186934951</v>
      </c>
      <c r="BH51" s="59">
        <f t="shared" si="8"/>
        <v>642.4270105550172</v>
      </c>
      <c r="BI51" s="59">
        <f ca="1">AVERAGE(OFFSET($BH$3,0,0,'Données projet'!$E$11+1,1))-AVERAGE(OFFSET($H$3,0,0,'Données projet'!$E$11+1,1))</f>
        <v>308.85018589589453</v>
      </c>
      <c r="BJ51" s="59">
        <f t="shared" si="38"/>
        <v>302.59481222418219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8.7491009573710841</v>
      </c>
      <c r="BQ51" s="21">
        <f>EXP(-LN(2)/25)*BQ50+(1-EXP(-LN(2)/25))/(LN(2)/25)*Calculateur!BL51*Calculateur!BN51*VLOOKUP('Données projet'!$B$11,Paramètres!$A$1:$I$89,3,0)*0.475*44/12</f>
        <v>10.568551799120163</v>
      </c>
      <c r="BR51" s="21">
        <f>EXP(-LN(2)/2)*BR50+(1-EXP(-LN(2)/2))/(LN(2)/2)*BL51*BO51*VLOOKUP('Données projet'!$B$11,Paramètres!$A$1:$I$89,3,0)*0.475*44/12</f>
        <v>2.1445266926569304</v>
      </c>
      <c r="BS51" s="22">
        <f t="shared" si="9"/>
        <v>21.462179449148181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10.375</v>
      </c>
      <c r="BY51" s="12">
        <f>IF('Données projet'!$A$114&gt;35,BY50+BX51-CG50,IF(A51&lt;'Données projet'!$A$114,$BV$205^A51,IF(A51='Données projet'!$A$114,'Données projet'!$B$114,BY50+BX51-CG50)))</f>
        <v>228.49999999999991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1.7421749999999978</v>
      </c>
      <c r="CT51" s="12">
        <f>IF('Données projet'!$A$140&gt;35,CT50+CS51-DB50,IF(A51&lt;'Données projet'!$A$140,$CQ$205^A51,IF(A51='Données projet'!$A$140,'Données projet'!$B$140,CT50+CS51-DB50)))</f>
        <v>120.03130000000012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822.27964189654199</v>
      </c>
      <c r="S52" s="59">
        <f ca="1">AVERAGE(OFFSET($R$3,0,0,'Données projet'!$E$9+1,1))-AVERAGE(OFFSET($H$3,0,0,'Données projet'!$E$9+1,1))</f>
        <v>737.40414421611001</v>
      </c>
      <c r="T52" s="59">
        <f t="shared" si="34"/>
        <v>245.32893490531674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252.40000000000003</v>
      </c>
      <c r="AJ52" s="13">
        <f>AI52*VLOOKUP('Données projet'!$B$10,Paramètres!$A$1:$I$89,3,0)*VLOOKUP('Données projet'!$B$10,Paramètres!$A$1:$I$89,5,0)</f>
        <v>200.80944000000002</v>
      </c>
      <c r="AK52" s="13">
        <f t="shared" si="35"/>
        <v>49.922016299484312</v>
      </c>
      <c r="AL52" s="20">
        <f t="shared" si="4"/>
        <v>436.69061972160188</v>
      </c>
      <c r="AM52" s="59">
        <f t="shared" si="5"/>
        <v>691.13699954589379</v>
      </c>
      <c r="AN52" s="59">
        <f ca="1">AVERAGE(OFFSET($AM$3,0,0,'Données projet'!$E$10+1,1))-AVERAGE(OFFSET($H$3,0,0,'Données projet'!$E$10+1,1))</f>
        <v>377.28055430105911</v>
      </c>
      <c r="AO52" s="59">
        <f t="shared" si="36"/>
        <v>364.58250627635425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11.887489427811667</v>
      </c>
      <c r="AV52" s="21">
        <f>EXP(-LN(2)/25)*AV51+(1-EXP(-LN(2)/25))/(LN(2)/25)*Calculateur!AQ52*Calculateur!AS52*VLOOKUP('Données projet'!$B$10,Paramètres!$A$1:$I$89,3,0)*0.475*44/12</f>
        <v>16.167240025375715</v>
      </c>
      <c r="AW52" s="21">
        <f>EXP(-LN(2)/2)*AW51+(1-EXP(-LN(2)/2))/(LN(2)/2)*AQ52*AT52*VLOOKUP('Données projet'!$B$10,Paramètres!$A$1:$I$89,3,0)*0.475*44/12</f>
        <v>1.4786079682540947</v>
      </c>
      <c r="AX52" s="21">
        <f t="shared" si="6"/>
        <v>29.53333742144148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186.32249999999993</v>
      </c>
      <c r="BF52" s="13">
        <f t="shared" si="37"/>
        <v>46.725987276254116</v>
      </c>
      <c r="BG52" s="20">
        <f t="shared" si="7"/>
        <v>405.8927820061424</v>
      </c>
      <c r="BH52" s="59">
        <f t="shared" si="8"/>
        <v>660.33916183043436</v>
      </c>
      <c r="BI52" s="59">
        <f ca="1">AVERAGE(OFFSET($BH$3,0,0,'Données projet'!$E$11+1,1))-AVERAGE(OFFSET($H$3,0,0,'Données projet'!$E$11+1,1))</f>
        <v>308.85018589589453</v>
      </c>
      <c r="BJ52" s="59">
        <f t="shared" si="38"/>
        <v>302.59481222418219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8.5775364240216927</v>
      </c>
      <c r="BQ52" s="21">
        <f>EXP(-LN(2)/25)*BQ51+(1-EXP(-LN(2)/25))/(LN(2)/25)*Calculateur!BL52*Calculateur!BN52*VLOOKUP('Données projet'!$B$11,Paramètres!$A$1:$I$89,3,0)*0.475*44/12</f>
        <v>10.279554194397239</v>
      </c>
      <c r="BR52" s="21">
        <f>EXP(-LN(2)/2)*BR51+(1-EXP(-LN(2)/2))/(LN(2)/2)*BL52*BO52*VLOOKUP('Données projet'!$B$11,Paramètres!$A$1:$I$89,3,0)*0.475*44/12</f>
        <v>1.5164093668132745</v>
      </c>
      <c r="BS52" s="22">
        <f t="shared" si="9"/>
        <v>20.373499985232204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10.375</v>
      </c>
      <c r="BY52" s="12">
        <f>IF('Données projet'!$A$114&gt;35,BY51+BX52-CG51,IF(A52&lt;'Données projet'!$A$114,$BV$205^A52,IF(A52='Données projet'!$A$114,'Données projet'!$B$114,BY51+BX52-CG51)))</f>
        <v>238.87499999999991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1.7421749999999978</v>
      </c>
      <c r="CT52" s="12">
        <f>IF('Données projet'!$A$140&gt;35,CT51+CS52-DB51,IF(A52&lt;'Données projet'!$A$140,$CQ$205^A52,IF(A52='Données projet'!$A$140,'Données projet'!$B$140,CT51+CS52-DB51)))</f>
        <v>121.77347500000012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850.37107809089764</v>
      </c>
      <c r="S53" s="59">
        <f ca="1">AVERAGE(OFFSET($R$3,0,0,'Données projet'!$E$9+1,1))-AVERAGE(OFFSET($H$3,0,0,'Données projet'!$E$9+1,1))</f>
        <v>737.40414421611001</v>
      </c>
      <c r="T53" s="59">
        <f t="shared" si="34"/>
        <v>245.32893490531674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261.00000000000006</v>
      </c>
      <c r="AJ53" s="13">
        <f>AI53*VLOOKUP('Données projet'!$B$10,Paramètres!$A$1:$I$89,3,0)*VLOOKUP('Données projet'!$B$10,Paramètres!$A$1:$I$89,5,0)</f>
        <v>207.65160000000006</v>
      </c>
      <c r="AK53" s="13">
        <f t="shared" si="35"/>
        <v>51.422065813018108</v>
      </c>
      <c r="AL53" s="20">
        <f t="shared" si="4"/>
        <v>451.2199679576733</v>
      </c>
      <c r="AM53" s="59">
        <f t="shared" si="5"/>
        <v>706.34094948714346</v>
      </c>
      <c r="AN53" s="59">
        <f ca="1">AVERAGE(OFFSET($AM$3,0,0,'Données projet'!$E$10+1,1))-AVERAGE(OFFSET($H$3,0,0,'Données projet'!$E$10+1,1))</f>
        <v>377.28055430105911</v>
      </c>
      <c r="AO53" s="59">
        <f t="shared" si="36"/>
        <v>364.58250627635425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0.13250000000000001</v>
      </c>
      <c r="AS53" s="16">
        <f>IF(ISNA(VLOOKUP(A53,'Données projet'!$A$61:$I$81,6,0)),0%,VLOOKUP(A53,'Données projet'!$A$61:$I$81,6,0)*VLOOKUP('Données projet'!$B$10,Paramètres!$A$1:$I$89,7,0))</f>
        <v>0.13250000000000001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13.868555059770163</v>
      </c>
      <c r="AV53" s="21">
        <f>EXP(-LN(2)/25)*AV52+(1-EXP(-LN(2)/25))/(LN(2)/25)*Calculateur!AQ53*Calculateur!AS53*VLOOKUP('Données projet'!$B$10,Paramètres!$A$1:$I$89,3,0)*0.475*44/12</f>
        <v>17.93060000664634</v>
      </c>
      <c r="AW53" s="21">
        <f>EXP(-LN(2)/2)*AW52+(1-EXP(-LN(2)/2))/(LN(2)/2)*AQ53*AT53*VLOOKUP('Données projet'!$B$10,Paramètres!$A$1:$I$89,3,0)*0.475*44/12</f>
        <v>4.6112162840541568</v>
      </c>
      <c r="AX53" s="21">
        <f t="shared" si="6"/>
        <v>36.410371350470662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194.41499999999994</v>
      </c>
      <c r="BF53" s="13">
        <f t="shared" si="37"/>
        <v>48.514737888684927</v>
      </c>
      <c r="BG53" s="20">
        <f t="shared" si="7"/>
        <v>423.10262682279273</v>
      </c>
      <c r="BH53" s="59">
        <f t="shared" si="8"/>
        <v>678.22360835226277</v>
      </c>
      <c r="BI53" s="59">
        <f ca="1">AVERAGE(OFFSET($BH$3,0,0,'Données projet'!$E$11+1,1))-AVERAGE(OFFSET($H$3,0,0,'Données projet'!$E$11+1,1))</f>
        <v>308.85018589589453</v>
      </c>
      <c r="BJ53" s="59">
        <f t="shared" si="38"/>
        <v>302.59481222418219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8.4093361665272504</v>
      </c>
      <c r="BQ53" s="21">
        <f>EXP(-LN(2)/25)*BQ52+(1-EXP(-LN(2)/25))/(LN(2)/25)*Calculateur!BL53*Calculateur!BN53*VLOOKUP('Données projet'!$B$11,Paramètres!$A$1:$I$89,3,0)*0.475*44/12</f>
        <v>9.9984592443731852</v>
      </c>
      <c r="BR53" s="21">
        <f>EXP(-LN(2)/2)*BR52+(1-EXP(-LN(2)/2))/(LN(2)/2)*BL53*BO53*VLOOKUP('Données projet'!$B$11,Paramètres!$A$1:$I$89,3,0)*0.475*44/12</f>
        <v>1.0722633463284652</v>
      </c>
      <c r="BS53" s="22">
        <f t="shared" si="9"/>
        <v>19.4800587572289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10.375</v>
      </c>
      <c r="BY53" s="12">
        <f>IF('Données projet'!$A$114&gt;35,BY52+BX53-CG52,IF(A53&lt;'Données projet'!$A$114,$BV$205^A53,IF(A53='Données projet'!$A$114,'Données projet'!$B$114,BY52+BX53-CG52)))</f>
        <v>249.24999999999991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1.7421749999999978</v>
      </c>
      <c r="CT53" s="12">
        <f>IF('Données projet'!$A$140&gt;35,CT52+CS53-DB52,IF(A53&lt;'Données projet'!$A$140,$CQ$205^A53,IF(A53='Données projet'!$A$140,'Données projet'!$B$140,CT52+CS53-DB52)))</f>
        <v>123.51565000000012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742.62953585753178</v>
      </c>
      <c r="S54" s="59">
        <f ca="1">AVERAGE(OFFSET($R$3,0,0,'Données projet'!$E$9+1,1))-AVERAGE(OFFSET($H$3,0,0,'Données projet'!$E$9+1,1))</f>
        <v>737.40414421611001</v>
      </c>
      <c r="T54" s="59">
        <f t="shared" si="34"/>
        <v>245.32893490531674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249.40000000000003</v>
      </c>
      <c r="AJ54" s="13">
        <f>AI54*VLOOKUP('Données projet'!$B$10,Paramètres!$A$1:$I$89,3,0)*VLOOKUP('Données projet'!$B$10,Paramètres!$A$1:$I$89,5,0)</f>
        <v>198.42264000000003</v>
      </c>
      <c r="AK54" s="13">
        <f t="shared" si="35"/>
        <v>49.397352151183256</v>
      </c>
      <c r="AL54" s="20">
        <f t="shared" si="4"/>
        <v>431.61981966331086</v>
      </c>
      <c r="AM54" s="59">
        <f t="shared" si="5"/>
        <v>687.40370006655769</v>
      </c>
      <c r="AN54" s="59">
        <f ca="1">AVERAGE(OFFSET($AM$3,0,0,'Données projet'!$E$10+1,1))-AVERAGE(OFFSET($H$3,0,0,'Données projet'!$E$10+1,1))</f>
        <v>377.28055430105911</v>
      </c>
      <c r="AO54" s="59">
        <f t="shared" si="36"/>
        <v>364.58250627635425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13.596601154031401</v>
      </c>
      <c r="AV54" s="21">
        <f>EXP(-LN(2)/25)*AV53+(1-EXP(-LN(2)/25))/(LN(2)/25)*Calculateur!AQ54*Calculateur!AS54*VLOOKUP('Données projet'!$B$10,Paramètres!$A$1:$I$89,3,0)*0.475*44/12</f>
        <v>17.440286806535322</v>
      </c>
      <c r="AW54" s="21">
        <f>EXP(-LN(2)/2)*AW53+(1-EXP(-LN(2)/2))/(LN(2)/2)*AQ54*AT54*VLOOKUP('Données projet'!$B$10,Paramètres!$A$1:$I$89,3,0)*0.475*44/12</f>
        <v>3.2606223039725277</v>
      </c>
      <c r="AX54" s="21">
        <f t="shared" si="6"/>
        <v>34.297510264539248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202.50749999999991</v>
      </c>
      <c r="BF54" s="13">
        <f t="shared" si="37"/>
        <v>50.294840086606349</v>
      </c>
      <c r="BG54" s="20">
        <f t="shared" si="7"/>
        <v>440.29740898417253</v>
      </c>
      <c r="BH54" s="59">
        <f t="shared" si="8"/>
        <v>696.08128938741936</v>
      </c>
      <c r="BI54" s="59">
        <f ca="1">AVERAGE(OFFSET($BH$3,0,0,'Données projet'!$E$11+1,1))-AVERAGE(OFFSET($H$3,0,0,'Données projet'!$E$11+1,1))</f>
        <v>308.85018589589453</v>
      </c>
      <c r="BJ54" s="59">
        <f t="shared" si="38"/>
        <v>302.59481222418219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8.2444342134902477</v>
      </c>
      <c r="BQ54" s="21">
        <f>EXP(-LN(2)/25)*BQ53+(1-EXP(-LN(2)/25))/(LN(2)/25)*Calculateur!BL54*Calculateur!BN54*VLOOKUP('Données projet'!$B$11,Paramètres!$A$1:$I$89,3,0)*0.475*44/12</f>
        <v>9.7250508505396809</v>
      </c>
      <c r="BR54" s="21">
        <f>EXP(-LN(2)/2)*BR53+(1-EXP(-LN(2)/2))/(LN(2)/2)*BL54*BO54*VLOOKUP('Données projet'!$B$11,Paramètres!$A$1:$I$89,3,0)*0.475*44/12</f>
        <v>0.75820468340663727</v>
      </c>
      <c r="BS54" s="22">
        <f t="shared" si="9"/>
        <v>18.727689747436568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10.375</v>
      </c>
      <c r="BY54" s="12">
        <f>IF('Données projet'!$A$114&gt;35,BY53+BX54-CG53,IF(A54&lt;'Données projet'!$A$114,$BV$205^A54,IF(A54='Données projet'!$A$114,'Données projet'!$B$114,BY53+BX54-CG53)))</f>
        <v>259.62499999999989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1.7421749999999978</v>
      </c>
      <c r="CT54" s="12">
        <f>IF('Données projet'!$A$140&gt;35,CT53+CS54-DB53,IF(A54&lt;'Données projet'!$A$140,$CQ$205^A54,IF(A54='Données projet'!$A$140,'Données projet'!$B$140,CT53+CS54-DB53)))</f>
        <v>125.25782500000012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770.25275773270221</v>
      </c>
      <c r="S55" s="59">
        <f ca="1">AVERAGE(OFFSET($R$3,0,0,'Données projet'!$E$9+1,1))-AVERAGE(OFFSET($H$3,0,0,'Données projet'!$E$9+1,1))</f>
        <v>737.40414421611001</v>
      </c>
      <c r="T55" s="59">
        <f t="shared" si="34"/>
        <v>245.32893490531674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256.8</v>
      </c>
      <c r="AJ55" s="13">
        <f>AI55*VLOOKUP('Données projet'!$B$10,Paramètres!$A$1:$I$89,3,0)*VLOOKUP('Données projet'!$B$10,Paramètres!$A$1:$I$89,5,0)</f>
        <v>204.31008000000003</v>
      </c>
      <c r="AK55" s="13">
        <f t="shared" si="35"/>
        <v>50.690214235398379</v>
      </c>
      <c r="AL55" s="20">
        <f t="shared" si="4"/>
        <v>444.12551245998549</v>
      </c>
      <c r="AM55" s="59">
        <f t="shared" si="5"/>
        <v>700.56079192356879</v>
      </c>
      <c r="AN55" s="59">
        <f ca="1">AVERAGE(OFFSET($AM$3,0,0,'Données projet'!$E$10+1,1))-AVERAGE(OFFSET($H$3,0,0,'Données projet'!$E$10+1,1))</f>
        <v>377.28055430105911</v>
      </c>
      <c r="AO55" s="59">
        <f t="shared" si="36"/>
        <v>364.58250627635425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13.329980098508672</v>
      </c>
      <c r="AV55" s="21">
        <f>EXP(-LN(2)/25)*AV54+(1-EXP(-LN(2)/25))/(LN(2)/25)*Calculateur!AQ55*Calculateur!AS55*VLOOKUP('Données projet'!$B$10,Paramètres!$A$1:$I$89,3,0)*0.475*44/12</f>
        <v>16.96338124666579</v>
      </c>
      <c r="AW55" s="21">
        <f>EXP(-LN(2)/2)*AW54+(1-EXP(-LN(2)/2))/(LN(2)/2)*AQ55*AT55*VLOOKUP('Données projet'!$B$10,Paramètres!$A$1:$I$89,3,0)*0.475*44/12</f>
        <v>2.3056081420270789</v>
      </c>
      <c r="AX55" s="21">
        <f t="shared" si="6"/>
        <v>32.598969487201536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210.59999999999991</v>
      </c>
      <c r="BF55" s="13">
        <f t="shared" si="37"/>
        <v>52.066679014659961</v>
      </c>
      <c r="BG55" s="20">
        <f t="shared" si="7"/>
        <v>457.47779928386586</v>
      </c>
      <c r="BH55" s="59">
        <f t="shared" si="8"/>
        <v>713.91307874744916</v>
      </c>
      <c r="BI55" s="59">
        <f ca="1">AVERAGE(OFFSET($BH$3,0,0,'Données projet'!$E$11+1,1))-AVERAGE(OFFSET($H$3,0,0,'Données projet'!$E$11+1,1))</f>
        <v>308.85018589589453</v>
      </c>
      <c r="BJ55" s="59">
        <f t="shared" si="38"/>
        <v>302.59481222418219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48</v>
      </c>
      <c r="BM55" s="16">
        <f>IF(ISNA(VLOOKUP(A55,'Données projet'!$A$87:$I$107,5,0)),0%,VLOOKUP(A55,'Données projet'!$A$87:$I$107,5,0)*VLOOKUP('Données projet'!$B$11,Paramètres!$A$1:$I$89,7,0))</f>
        <v>0.1075</v>
      </c>
      <c r="BN55" s="16">
        <f>IF(ISNA(VLOOKUP(A55,'Données projet'!$A$87:$I$107,6,0)),0%,VLOOKUP(A55,'Données projet'!$A$87:$I$107,6,0)*VLOOKUP('Données projet'!$B$11,Paramètres!$A$1:$I$89,7,0))</f>
        <v>0.1075</v>
      </c>
      <c r="BO55" s="16">
        <f>IF(ISNA(VLOOKUP(A55,'Données projet'!$A$87:$I$107,7,0)),0%,VLOOKUP(A55,'Données projet'!$A$87:$I$107,7,0))</f>
        <v>0.25</v>
      </c>
      <c r="BP55" s="21">
        <f>EXP(-LN(2)/35)*BP54+(1-EXP(-LN(2)/35))/(LN(2)/35)*BL55*BM55*VLOOKUP('Données projet'!$B$11,Paramètres!$A$1:$I$89,3,0)*0.475*44/12</f>
        <v>12.532063070716259</v>
      </c>
      <c r="BQ55" s="21">
        <f>EXP(-LN(2)/25)*BQ54+(1-EXP(-LN(2)/25))/(LN(2)/25)*Calculateur!BL55*Calculateur!BN55*VLOOKUP('Données projet'!$B$11,Paramètres!$A$1:$I$89,3,0)*0.475*44/12</f>
        <v>13.890897428830943</v>
      </c>
      <c r="BR55" s="21">
        <f>EXP(-LN(2)/2)*BR54+(1-EXP(-LN(2)/2))/(LN(2)/2)*BL55*BO55*VLOOKUP('Données projet'!$B$11,Paramètres!$A$1:$I$89,3,0)*0.475*44/12</f>
        <v>9.3675435938706659</v>
      </c>
      <c r="BS55" s="22">
        <f t="shared" si="9"/>
        <v>35.790504093417866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270</v>
      </c>
      <c r="BW55" s="12">
        <f>VLOOKUP(A55,'Données projet'!$A$113:$I$133,9,0)</f>
        <v>10.375</v>
      </c>
      <c r="BX55" s="12">
        <f t="array" ref="BX55">INDEX(BW:BW,MIN(IF(ISNUMBER(BW55:BW251),ROW(BW55:BW251),"")))</f>
        <v>10.375</v>
      </c>
      <c r="BY55" s="12">
        <f>IF('Données projet'!$A$114&gt;35,BY54+BX55-CG54,IF(A55&lt;'Données projet'!$A$114,$BV$205^A55,IF(A55='Données projet'!$A$114,'Données projet'!$B$114,BY54+BX55-CG54)))</f>
        <v>269.99999999999989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48</v>
      </c>
      <c r="CH55" s="16" t="e">
        <f>IF(ISNA(VLOOKUP(A55,'Données projet'!$A$113:$I$133,5,0)),0%,VLOOKUP(A55,'Données projet'!$A$113:$I$133,5,0)*VLOOKUP('Données projet'!$B$12,Paramètres!$A$1:$I$89,7,0))</f>
        <v>#N/A</v>
      </c>
      <c r="CI55" s="16" t="e">
        <f>IF(ISNA(VLOOKUP(A55,'Données projet'!$A$113:$I$133,6,0)),0%,VLOOKUP(A55,'Données projet'!$A$113:$I$133,6,0)*VLOOKUP('Données projet'!$B$12,Paramètres!$A$1:$I$89,7,0))</f>
        <v>#N/A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127</v>
      </c>
      <c r="CR55" s="12">
        <f>VLOOKUP(A55,'Données projet'!$A$139:$I$159,9,0)</f>
        <v>1.7421749999999978</v>
      </c>
      <c r="CS55" s="12">
        <f t="array" ref="CS55">INDEX(CR:CR,MIN(IF(ISNUMBER(CR55:CR251),ROW(CR55:CR251),"")))</f>
        <v>1.7421749999999978</v>
      </c>
      <c r="CT55" s="12">
        <f>IF('Données projet'!$A$140&gt;35,CT54+CS55-DB54,IF(A55&lt;'Données projet'!$A$140,$CQ$205^A55,IF(A55='Données projet'!$A$140,'Données projet'!$B$140,CT54+CS55-DB54)))</f>
        <v>127.00000000000013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29</v>
      </c>
      <c r="DC55" s="16" t="e">
        <f>IF(ISNA(VLOOKUP(A55,'Données projet'!$A$139:$I$159,5,0)),0%,VLOOKUP(A55,'Données projet'!$A$139:$I$159,5,0)*VLOOKUP('Données projet'!$B$13,Paramètres!$A$1:$I$89,7,0))</f>
        <v>#N/A</v>
      </c>
      <c r="DD55" s="16" t="e">
        <f>IF(ISNA(VLOOKUP(A55,'Données projet'!$A$139:$I$159,6,0)),0%,VLOOKUP(A55,'Données projet'!$A$139:$I$159,6,0)*VLOOKUP('Données projet'!$B$13,Paramètres!$A$1:$I$89,7,0))</f>
        <v>#N/A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797.83480097596589</v>
      </c>
      <c r="S56" s="59">
        <f ca="1">AVERAGE(OFFSET($R$3,0,0,'Données projet'!$E$9+1,1))-AVERAGE(OFFSET($H$3,0,0,'Données projet'!$E$9+1,1))</f>
        <v>737.40414421611001</v>
      </c>
      <c r="T56" s="59">
        <f t="shared" si="34"/>
        <v>245.32893490531674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264.2</v>
      </c>
      <c r="AJ56" s="13">
        <f>AI56*VLOOKUP('Données projet'!$B$10,Paramètres!$A$1:$I$89,3,0)*VLOOKUP('Données projet'!$B$10,Paramètres!$A$1:$I$89,5,0)</f>
        <v>210.19752</v>
      </c>
      <c r="AK56" s="13">
        <f t="shared" si="35"/>
        <v>51.978746425856599</v>
      </c>
      <c r="AL56" s="20">
        <f t="shared" si="4"/>
        <v>456.62366402503358</v>
      </c>
      <c r="AM56" s="59">
        <f t="shared" si="5"/>
        <v>713.69904223156686</v>
      </c>
      <c r="AN56" s="59">
        <f ca="1">AVERAGE(OFFSET($AM$3,0,0,'Données projet'!$E$10+1,1))-AVERAGE(OFFSET($H$3,0,0,'Données projet'!$E$10+1,1))</f>
        <v>377.28055430105911</v>
      </c>
      <c r="AO56" s="59">
        <f t="shared" si="36"/>
        <v>364.58250627635425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13.068587319261958</v>
      </c>
      <c r="AV56" s="21">
        <f>EXP(-LN(2)/25)*AV55+(1-EXP(-LN(2)/25))/(LN(2)/25)*Calculateur!AQ56*Calculateur!AS56*VLOOKUP('Données projet'!$B$10,Paramètres!$A$1:$I$89,3,0)*0.475*44/12</f>
        <v>16.499516694410264</v>
      </c>
      <c r="AW56" s="21">
        <f>EXP(-LN(2)/2)*AW55+(1-EXP(-LN(2)/2))/(LN(2)/2)*AQ56*AT56*VLOOKUP('Données projet'!$B$10,Paramètres!$A$1:$I$89,3,0)*0.475*44/12</f>
        <v>1.6303111519862641</v>
      </c>
      <c r="AX56" s="21">
        <f t="shared" si="6"/>
        <v>31.198415165658485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231.37499999999989</v>
      </c>
      <c r="BE56" s="13">
        <f>BD56*VLOOKUP('Données projet'!$B$11,Paramètres!$A$1:$I$89,3,0)*VLOOKUP('Données projet'!$B$11,Paramètres!$A$1:$I$89,5,0)</f>
        <v>180.47249999999991</v>
      </c>
      <c r="BF56" s="13">
        <f t="shared" si="37"/>
        <v>45.427292666837829</v>
      </c>
      <c r="BG56" s="20">
        <f t="shared" si="7"/>
        <v>393.44213889474241</v>
      </c>
      <c r="BH56" s="59">
        <f t="shared" si="8"/>
        <v>650.51751710127564</v>
      </c>
      <c r="BI56" s="59">
        <f ca="1">AVERAGE(OFFSET($BH$3,0,0,'Données projet'!$E$11+1,1))-AVERAGE(OFFSET($H$3,0,0,'Données projet'!$E$11+1,1))</f>
        <v>308.85018589589453</v>
      </c>
      <c r="BJ56" s="59">
        <f t="shared" si="38"/>
        <v>302.59481222418219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12.286316957703223</v>
      </c>
      <c r="BQ56" s="21">
        <f>EXP(-LN(2)/25)*BQ55+(1-EXP(-LN(2)/25))/(LN(2)/25)*Calculateur!BL56*Calculateur!BN56*VLOOKUP('Données projet'!$B$11,Paramètres!$A$1:$I$89,3,0)*0.475*44/12</f>
        <v>13.511050108149012</v>
      </c>
      <c r="BR56" s="21">
        <f>EXP(-LN(2)/2)*BR55+(1-EXP(-LN(2)/2))/(LN(2)/2)*BL56*BO56*VLOOKUP('Données projet'!$B$11,Paramètres!$A$1:$I$89,3,0)*0.475*44/12</f>
        <v>6.6238535982865505</v>
      </c>
      <c r="BS56" s="22">
        <f t="shared" si="9"/>
        <v>32.421220664138787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231.37499999999989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6.125</v>
      </c>
      <c r="CT56" s="12">
        <f>IF('Données projet'!$A$140&gt;35,CT55+CS56-DB55,IF(A56&lt;'Données projet'!$A$140,$CQ$205^A56,IF(A56='Données projet'!$A$140,'Données projet'!$B$140,CT55+CS56-DB55)))</f>
        <v>104.12500000000011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825.37755768720513</v>
      </c>
      <c r="S57" s="59">
        <f ca="1">AVERAGE(OFFSET($R$3,0,0,'Données projet'!$E$9+1,1))-AVERAGE(OFFSET($H$3,0,0,'Données projet'!$E$9+1,1))</f>
        <v>737.40414421611001</v>
      </c>
      <c r="T57" s="59">
        <f t="shared" si="34"/>
        <v>245.32893490531674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271.59999999999997</v>
      </c>
      <c r="AJ57" s="13">
        <f>AI57*VLOOKUP('Données projet'!$B$10,Paramètres!$A$1:$I$89,3,0)*VLOOKUP('Données projet'!$B$10,Paramètres!$A$1:$I$89,5,0)</f>
        <v>216.08496</v>
      </c>
      <c r="AK57" s="13">
        <f t="shared" si="35"/>
        <v>53.26308393083157</v>
      </c>
      <c r="AL57" s="20">
        <f t="shared" si="4"/>
        <v>469.11450984619825</v>
      </c>
      <c r="AM57" s="59">
        <f t="shared" si="5"/>
        <v>726.81888251353757</v>
      </c>
      <c r="AN57" s="59">
        <f ca="1">AVERAGE(OFFSET($AM$3,0,0,'Données projet'!$E$10+1,1))-AVERAGE(OFFSET($H$3,0,0,'Données projet'!$E$10+1,1))</f>
        <v>377.28055430105911</v>
      </c>
      <c r="AO57" s="59">
        <f t="shared" si="36"/>
        <v>364.58250627635425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12.81232029298242</v>
      </c>
      <c r="AV57" s="21">
        <f>EXP(-LN(2)/25)*AV56+(1-EXP(-LN(2)/25))/(LN(2)/25)*Calculateur!AQ57*Calculateur!AS57*VLOOKUP('Données projet'!$B$10,Paramètres!$A$1:$I$89,3,0)*0.475*44/12</f>
        <v>16.048336542729743</v>
      </c>
      <c r="AW57" s="21">
        <f>EXP(-LN(2)/2)*AW56+(1-EXP(-LN(2)/2))/(LN(2)/2)*AQ57*AT57*VLOOKUP('Données projet'!$B$10,Paramètres!$A$1:$I$89,3,0)*0.475*44/12</f>
        <v>1.1528040710135394</v>
      </c>
      <c r="AX57" s="21">
        <f t="shared" si="6"/>
        <v>30.013460906725701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9.375</v>
      </c>
      <c r="BD57" s="12">
        <f>IF('Données projet'!$A$88&gt;35,BD56+BC57-BL56,IF(A57&lt;'Données projet'!$A$88,$BA$205^A57,IF(A57='Données projet'!$A$88,'Données projet'!$B$88,BD56+BC57-BL56)))</f>
        <v>240.74999999999989</v>
      </c>
      <c r="BE57" s="13">
        <f>BD57*VLOOKUP('Données projet'!$B$11,Paramètres!$A$1:$I$89,3,0)*VLOOKUP('Données projet'!$B$11,Paramètres!$A$1:$I$89,5,0)</f>
        <v>187.78499999999991</v>
      </c>
      <c r="BF57" s="13">
        <f t="shared" si="37"/>
        <v>47.049914090154054</v>
      </c>
      <c r="BG57" s="20">
        <f t="shared" si="7"/>
        <v>409.0041420403515</v>
      </c>
      <c r="BH57" s="59">
        <f t="shared" si="8"/>
        <v>666.70851470769082</v>
      </c>
      <c r="BI57" s="59">
        <f ca="1">AVERAGE(OFFSET($BH$3,0,0,'Données projet'!$E$11+1,1))-AVERAGE(OFFSET($H$3,0,0,'Données projet'!$E$11+1,1))</f>
        <v>308.85018589589453</v>
      </c>
      <c r="BJ57" s="59">
        <f t="shared" si="38"/>
        <v>302.59481222418219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12.045389776076044</v>
      </c>
      <c r="BQ57" s="21">
        <f>EXP(-LN(2)/25)*BQ56+(1-EXP(-LN(2)/25))/(LN(2)/25)*Calculateur!BL57*Calculateur!BN57*VLOOKUP('Données projet'!$B$11,Paramètres!$A$1:$I$89,3,0)*0.475*44/12</f>
        <v>13.141589732426432</v>
      </c>
      <c r="BR57" s="21">
        <f>EXP(-LN(2)/2)*BR56+(1-EXP(-LN(2)/2))/(LN(2)/2)*BL57*BO57*VLOOKUP('Données projet'!$B$11,Paramètres!$A$1:$I$89,3,0)*0.475*44/12</f>
        <v>4.6837717969353339</v>
      </c>
      <c r="BS57" s="22">
        <f t="shared" si="9"/>
        <v>29.870751305437807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9.375</v>
      </c>
      <c r="BY57" s="12">
        <f>IF('Données projet'!$A$114&gt;35,BY56+BX57-CG56,IF(A57&lt;'Données projet'!$A$114,$BV$205^A57,IF(A57='Données projet'!$A$114,'Données projet'!$B$114,BY56+BX57-CG56)))</f>
        <v>240.74999999999989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6.125</v>
      </c>
      <c r="CT57" s="12">
        <f>IF('Données projet'!$A$140&gt;35,CT56+CS57-DB56,IF(A57&lt;'Données projet'!$A$140,$CQ$205^A57,IF(A57='Données projet'!$A$140,'Données projet'!$B$140,CT56+CS57-DB56)))</f>
        <v>110.25000000000011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852.88274281476765</v>
      </c>
      <c r="S58" s="59">
        <f ca="1">AVERAGE(OFFSET($R$3,0,0,'Données projet'!$E$9+1,1))-AVERAGE(OFFSET($H$3,0,0,'Données projet'!$E$9+1,1))</f>
        <v>737.40414421611001</v>
      </c>
      <c r="T58" s="59">
        <f t="shared" si="34"/>
        <v>245.32893490531674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278.99999999999994</v>
      </c>
      <c r="AJ58" s="13">
        <f>AI58*VLOOKUP('Données projet'!$B$10,Paramètres!$A$1:$I$89,3,0)*VLOOKUP('Données projet'!$B$10,Paramètres!$A$1:$I$89,5,0)</f>
        <v>221.97239999999996</v>
      </c>
      <c r="AK58" s="13">
        <f t="shared" si="35"/>
        <v>54.543354171476821</v>
      </c>
      <c r="AL58" s="20">
        <f t="shared" si="4"/>
        <v>481.59827184865543</v>
      </c>
      <c r="AM58" s="59">
        <f t="shared" si="5"/>
        <v>739.92072732912675</v>
      </c>
      <c r="AN58" s="59">
        <f ca="1">AVERAGE(OFFSET($AM$3,0,0,'Données projet'!$E$10+1,1))-AVERAGE(OFFSET($H$3,0,0,'Données projet'!$E$10+1,1))</f>
        <v>377.28055430105911</v>
      </c>
      <c r="AO58" s="59">
        <f t="shared" si="36"/>
        <v>364.58250627635425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0.13250000000000001</v>
      </c>
      <c r="AS58" s="16">
        <f>IF(ISNA(VLOOKUP(A58,'Données projet'!$A$61:$I$81,6,0)),0%,VLOOKUP(A58,'Données projet'!$A$61:$I$81,6,0)*VLOOKUP('Données projet'!$B$10,Paramètres!$A$1:$I$89,7,0))</f>
        <v>0.13250000000000001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14.425644442768373</v>
      </c>
      <c r="AV58" s="21">
        <f>EXP(-LN(2)/25)*AV57+(1-EXP(-LN(2)/25))/(LN(2)/25)*Calculateur!AQ58*Calculateur!AS58*VLOOKUP('Données projet'!$B$10,Paramètres!$A$1:$I$89,3,0)*0.475*44/12</f>
        <v>17.466718365465756</v>
      </c>
      <c r="AW58" s="21">
        <f>EXP(-LN(2)/2)*AW57+(1-EXP(-LN(2)/2))/(LN(2)/2)*AQ58*AT58*VLOOKUP('Données projet'!$B$10,Paramètres!$A$1:$I$89,3,0)*0.475*44/12</f>
        <v>3.8178356290333193</v>
      </c>
      <c r="AX58" s="21">
        <f t="shared" si="6"/>
        <v>35.710198437267451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9.375</v>
      </c>
      <c r="BD58" s="12">
        <f>IF('Données projet'!$A$88&gt;35,BD57+BC58-BL57,IF(A58&lt;'Données projet'!$A$88,$BA$205^A58,IF(A58='Données projet'!$A$88,'Données projet'!$B$88,BD57+BC58-BL57)))</f>
        <v>250.12499999999989</v>
      </c>
      <c r="BE58" s="13">
        <f>BD58*VLOOKUP('Données projet'!$B$11,Paramètres!$A$1:$I$89,3,0)*VLOOKUP('Données projet'!$B$11,Paramètres!$A$1:$I$89,5,0)</f>
        <v>195.09749999999991</v>
      </c>
      <c r="BF58" s="13">
        <f t="shared" si="37"/>
        <v>48.66519532492579</v>
      </c>
      <c r="BG58" s="20">
        <f t="shared" si="7"/>
        <v>424.55336102424553</v>
      </c>
      <c r="BH58" s="59">
        <f t="shared" si="8"/>
        <v>682.87581650471691</v>
      </c>
      <c r="BI58" s="59">
        <f ca="1">AVERAGE(OFFSET($BH$3,0,0,'Données projet'!$E$11+1,1))-AVERAGE(OFFSET($H$3,0,0,'Données projet'!$E$11+1,1))</f>
        <v>308.85018589589453</v>
      </c>
      <c r="BJ58" s="59">
        <f t="shared" si="38"/>
        <v>302.59481222418219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11.809187029529504</v>
      </c>
      <c r="BQ58" s="21">
        <f>EXP(-LN(2)/25)*BQ57+(1-EXP(-LN(2)/25))/(LN(2)/25)*Calculateur!BL58*Calculateur!BN58*VLOOKUP('Données projet'!$B$11,Paramètres!$A$1:$I$89,3,0)*0.475*44/12</f>
        <v>12.782232270107063</v>
      </c>
      <c r="BR58" s="21">
        <f>EXP(-LN(2)/2)*BR57+(1-EXP(-LN(2)/2))/(LN(2)/2)*BL58*BO58*VLOOKUP('Données projet'!$B$11,Paramètres!$A$1:$I$89,3,0)*0.475*44/12</f>
        <v>3.3119267991432757</v>
      </c>
      <c r="BS58" s="22">
        <f t="shared" si="9"/>
        <v>27.903346098779842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9.375</v>
      </c>
      <c r="BY58" s="12">
        <f>IF('Données projet'!$A$114&gt;35,BY57+BX58-CG57,IF(A58&lt;'Données projet'!$A$114,$BV$205^A58,IF(A58='Données projet'!$A$114,'Données projet'!$B$114,BY57+BX58-CG57)))</f>
        <v>250.12499999999989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6.125</v>
      </c>
      <c r="CT58" s="12">
        <f>IF('Données projet'!$A$140&gt;35,CT57+CS58-DB57,IF(A58&lt;'Données projet'!$A$140,$CQ$205^A58,IF(A58='Données projet'!$A$140,'Données projet'!$B$140,CT57+CS58-DB57)))</f>
        <v>116.37500000000011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880.35191922268427</v>
      </c>
      <c r="S59" s="59">
        <f ca="1">AVERAGE(OFFSET($R$3,0,0,'Données projet'!$E$9+1,1))-AVERAGE(OFFSET($H$3,0,0,'Données projet'!$E$9+1,1))</f>
        <v>737.40414421611001</v>
      </c>
      <c r="T59" s="59">
        <f t="shared" si="34"/>
        <v>245.32893490531674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269.19999999999993</v>
      </c>
      <c r="AJ59" s="13">
        <f>AI59*VLOOKUP('Données projet'!$B$10,Paramètres!$A$1:$I$89,3,0)*VLOOKUP('Données projet'!$B$10,Paramètres!$A$1:$I$89,5,0)</f>
        <v>214.17551999999998</v>
      </c>
      <c r="AK59" s="13">
        <f t="shared" si="35"/>
        <v>52.846993696165399</v>
      </c>
      <c r="AL59" s="20">
        <f t="shared" si="4"/>
        <v>465.06421135415468</v>
      </c>
      <c r="AM59" s="59">
        <f t="shared" si="5"/>
        <v>723.99402729277642</v>
      </c>
      <c r="AN59" s="59">
        <f ca="1">AVERAGE(OFFSET($AM$3,0,0,'Données projet'!$E$10+1,1))-AVERAGE(OFFSET($H$3,0,0,'Données projet'!$E$10+1,1))</f>
        <v>377.28055430105911</v>
      </c>
      <c r="AO59" s="59">
        <f t="shared" si="36"/>
        <v>364.58250627635425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14.142766354019988</v>
      </c>
      <c r="AV59" s="21">
        <f>EXP(-LN(2)/25)*AV58+(1-EXP(-LN(2)/25))/(LN(2)/25)*Calculateur!AQ59*Calculateur!AS59*VLOOKUP('Données projet'!$B$10,Paramètres!$A$1:$I$89,3,0)*0.475*44/12</f>
        <v>16.989090033227296</v>
      </c>
      <c r="AW59" s="21">
        <f>EXP(-LN(2)/2)*AW58+(1-EXP(-LN(2)/2))/(LN(2)/2)*AQ59*AT59*VLOOKUP('Données projet'!$B$10,Paramètres!$A$1:$I$89,3,0)*0.475*44/12</f>
        <v>2.6996174627450684</v>
      </c>
      <c r="AX59" s="21">
        <f t="shared" si="6"/>
        <v>33.831473849992349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9.375</v>
      </c>
      <c r="BD59" s="12">
        <f>IF('Données projet'!$A$88&gt;35,BD58+BC59-BL58,IF(A59&lt;'Données projet'!$A$88,$BA$205^A59,IF(A59='Données projet'!$A$88,'Données projet'!$B$88,BD58+BC59-BL58)))</f>
        <v>259.49999999999989</v>
      </c>
      <c r="BE59" s="13">
        <f>BD59*VLOOKUP('Données projet'!$B$11,Paramètres!$A$1:$I$89,3,0)*VLOOKUP('Données projet'!$B$11,Paramètres!$A$1:$I$89,5,0)</f>
        <v>202.40999999999991</v>
      </c>
      <c r="BF59" s="13">
        <f t="shared" si="37"/>
        <v>50.273442991661817</v>
      </c>
      <c r="BG59" s="20">
        <f t="shared" si="7"/>
        <v>440.09032987714414</v>
      </c>
      <c r="BH59" s="59">
        <f t="shared" si="8"/>
        <v>699.02014581576589</v>
      </c>
      <c r="BI59" s="59">
        <f ca="1">AVERAGE(OFFSET($BH$3,0,0,'Données projet'!$E$11+1,1))-AVERAGE(OFFSET($H$3,0,0,'Données projet'!$E$11+1,1))</f>
        <v>308.85018589589453</v>
      </c>
      <c r="BJ59" s="59">
        <f t="shared" si="38"/>
        <v>302.59481222418219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11.577616074773292</v>
      </c>
      <c r="BQ59" s="21">
        <f>EXP(-LN(2)/25)*BQ58+(1-EXP(-LN(2)/25))/(LN(2)/25)*Calculateur!BL59*Calculateur!BN59*VLOOKUP('Données projet'!$B$11,Paramètres!$A$1:$I$89,3,0)*0.475*44/12</f>
        <v>12.432701456492603</v>
      </c>
      <c r="BR59" s="21">
        <f>EXP(-LN(2)/2)*BR58+(1-EXP(-LN(2)/2))/(LN(2)/2)*BL59*BO59*VLOOKUP('Données projet'!$B$11,Paramètres!$A$1:$I$89,3,0)*0.475*44/12</f>
        <v>2.3418858984676669</v>
      </c>
      <c r="BS59" s="22">
        <f t="shared" si="9"/>
        <v>26.352203429733564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9.375</v>
      </c>
      <c r="BY59" s="12">
        <f>IF('Données projet'!$A$114&gt;35,BY58+BX59-CG58,IF(A59&lt;'Données projet'!$A$114,$BV$205^A59,IF(A59='Données projet'!$A$114,'Données projet'!$B$114,BY58+BX59-CG58)))</f>
        <v>259.49999999999989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6.125</v>
      </c>
      <c r="CT59" s="12">
        <f>IF('Données projet'!$A$140&gt;35,CT58+CS59-DB58,IF(A59&lt;'Données projet'!$A$140,$CQ$205^A59,IF(A59='Données projet'!$A$140,'Données projet'!$B$140,CT58+CS59-DB58)))</f>
        <v>122.50000000000011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907.78651821088329</v>
      </c>
      <c r="S60" s="59">
        <f ca="1">AVERAGE(OFFSET($R$3,0,0,'Données projet'!$E$9+1,1))-AVERAGE(OFFSET($H$3,0,0,'Données projet'!$E$9+1,1))</f>
        <v>737.40414421611001</v>
      </c>
      <c r="T60" s="59">
        <f t="shared" si="34"/>
        <v>245.32893490531674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275.39999999999992</v>
      </c>
      <c r="AJ60" s="13">
        <f>AI60*VLOOKUP('Données projet'!$B$10,Paramètres!$A$1:$I$89,3,0)*VLOOKUP('Données projet'!$B$10,Paramètres!$A$1:$I$89,5,0)</f>
        <v>219.10823999999994</v>
      </c>
      <c r="AK60" s="13">
        <f t="shared" si="35"/>
        <v>53.921020297295854</v>
      </c>
      <c r="AL60" s="20">
        <f t="shared" si="4"/>
        <v>475.52596168445672</v>
      </c>
      <c r="AM60" s="59">
        <f t="shared" si="5"/>
        <v>735.05260173513443</v>
      </c>
      <c r="AN60" s="59">
        <f ca="1">AVERAGE(OFFSET($AM$3,0,0,'Données projet'!$E$10+1,1))-AVERAGE(OFFSET($H$3,0,0,'Données projet'!$E$10+1,1))</f>
        <v>377.28055430105911</v>
      </c>
      <c r="AO60" s="59">
        <f t="shared" si="36"/>
        <v>364.58250627635425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13.865435332053362</v>
      </c>
      <c r="AV60" s="21">
        <f>EXP(-LN(2)/25)*AV59+(1-EXP(-LN(2)/25))/(LN(2)/25)*Calculateur!AQ60*Calculateur!AS60*VLOOKUP('Données projet'!$B$10,Paramètres!$A$1:$I$89,3,0)*0.475*44/12</f>
        <v>16.524522472851281</v>
      </c>
      <c r="AW60" s="21">
        <f>EXP(-LN(2)/2)*AW59+(1-EXP(-LN(2)/2))/(LN(2)/2)*AQ60*AT60*VLOOKUP('Données projet'!$B$10,Paramètres!$A$1:$I$89,3,0)*0.475*44/12</f>
        <v>1.9089178145166599</v>
      </c>
      <c r="AX60" s="21">
        <f t="shared" si="6"/>
        <v>32.298875619421302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9.375</v>
      </c>
      <c r="BD60" s="12">
        <f>IF('Données projet'!$A$88&gt;35,BD59+BC60-BL59,IF(A60&lt;'Données projet'!$A$88,$BA$205^A60,IF(A60='Données projet'!$A$88,'Données projet'!$B$88,BD59+BC60-BL59)))</f>
        <v>268.87499999999989</v>
      </c>
      <c r="BE60" s="13">
        <f>BD60*VLOOKUP('Données projet'!$B$11,Paramètres!$A$1:$I$89,3,0)*VLOOKUP('Données projet'!$B$11,Paramètres!$A$1:$I$89,5,0)</f>
        <v>209.72249999999991</v>
      </c>
      <c r="BF60" s="13">
        <f t="shared" si="37"/>
        <v>51.874940300502246</v>
      </c>
      <c r="BG60" s="20">
        <f t="shared" si="7"/>
        <v>455.61554185670792</v>
      </c>
      <c r="BH60" s="59">
        <f t="shared" si="8"/>
        <v>715.14218190738563</v>
      </c>
      <c r="BI60" s="59">
        <f ca="1">AVERAGE(OFFSET($BH$3,0,0,'Données projet'!$E$11+1,1))-AVERAGE(OFFSET($H$3,0,0,'Données projet'!$E$11+1,1))</f>
        <v>308.85018589589453</v>
      </c>
      <c r="BJ60" s="59">
        <f t="shared" si="38"/>
        <v>302.59481222418219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11.350586085195514</v>
      </c>
      <c r="BQ60" s="21">
        <f>EXP(-LN(2)/25)*BQ59+(1-EXP(-LN(2)/25))/(LN(2)/25)*Calculateur!BL60*Calculateur!BN60*VLOOKUP('Données projet'!$B$11,Paramètres!$A$1:$I$89,3,0)*0.475*44/12</f>
        <v>12.092728581357459</v>
      </c>
      <c r="BR60" s="21">
        <f>EXP(-LN(2)/2)*BR59+(1-EXP(-LN(2)/2))/(LN(2)/2)*BL60*BO60*VLOOKUP('Données projet'!$B$11,Paramètres!$A$1:$I$89,3,0)*0.475*44/12</f>
        <v>1.6559633995716379</v>
      </c>
      <c r="BS60" s="22">
        <f t="shared" si="9"/>
        <v>25.099278066124612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9.375</v>
      </c>
      <c r="BY60" s="12">
        <f>IF('Données projet'!$A$114&gt;35,BY59+BX60-CG59,IF(A60&lt;'Données projet'!$A$114,$BV$205^A60,IF(A60='Données projet'!$A$114,'Données projet'!$B$114,BY59+BX60-CG59)))</f>
        <v>268.87499999999989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6.125</v>
      </c>
      <c r="CT60" s="12">
        <f>IF('Données projet'!$A$140&gt;35,CT59+CS60-DB59,IF(A60&lt;'Données projet'!$A$140,$CQ$205^A60,IF(A60='Données projet'!$A$140,'Données projet'!$B$140,CT59+CS60-DB59)))</f>
        <v>128.62500000000011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935.18785647237303</v>
      </c>
      <c r="S61" s="59">
        <f ca="1">AVERAGE(OFFSET($R$3,0,0,'Données projet'!$E$9+1,1))-AVERAGE(OFFSET($H$3,0,0,'Données projet'!$E$9+1,1))</f>
        <v>737.40414421611001</v>
      </c>
      <c r="T61" s="59">
        <f t="shared" si="34"/>
        <v>245.32893490531674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281.59999999999991</v>
      </c>
      <c r="AJ61" s="13">
        <f>AI61*VLOOKUP('Données projet'!$B$10,Paramètres!$A$1:$I$89,3,0)*VLOOKUP('Données projet'!$B$10,Paramètres!$A$1:$I$89,5,0)</f>
        <v>224.04095999999993</v>
      </c>
      <c r="AK61" s="13">
        <f t="shared" si="35"/>
        <v>54.992235867381233</v>
      </c>
      <c r="AL61" s="20">
        <f t="shared" si="4"/>
        <v>485.98281613568884</v>
      </c>
      <c r="AM61" s="59">
        <f t="shared" si="5"/>
        <v>746.09592673437726</v>
      </c>
      <c r="AN61" s="59">
        <f ca="1">AVERAGE(OFFSET($AM$3,0,0,'Données projet'!$E$10+1,1))-AVERAGE(OFFSET($H$3,0,0,'Données projet'!$E$10+1,1))</f>
        <v>377.28055430105911</v>
      </c>
      <c r="AO61" s="59">
        <f t="shared" si="36"/>
        <v>364.58250627635425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13.593542602272281</v>
      </c>
      <c r="AV61" s="21">
        <f>EXP(-LN(2)/25)*AV60+(1-EXP(-LN(2)/25))/(LN(2)/25)*Calculateur!AQ61*Calculateur!AS61*VLOOKUP('Données projet'!$B$10,Paramètres!$A$1:$I$89,3,0)*0.475*44/12</f>
        <v>16.072658536844294</v>
      </c>
      <c r="AW61" s="21">
        <f>EXP(-LN(2)/2)*AW60+(1-EXP(-LN(2)/2))/(LN(2)/2)*AQ61*AT61*VLOOKUP('Données projet'!$B$10,Paramètres!$A$1:$I$89,3,0)*0.475*44/12</f>
        <v>1.3498087313725344</v>
      </c>
      <c r="AX61" s="21">
        <f t="shared" si="6"/>
        <v>31.016009870489107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9.375</v>
      </c>
      <c r="BD61" s="12">
        <f>IF('Données projet'!$A$88&gt;35,BD60+BC61-BL60,IF(A61&lt;'Données projet'!$A$88,$BA$205^A61,IF(A61='Données projet'!$A$88,'Données projet'!$B$88,BD60+BC61-BL60)))</f>
        <v>278.24999999999989</v>
      </c>
      <c r="BE61" s="13">
        <f>BD61*VLOOKUP('Données projet'!$B$11,Paramètres!$A$1:$I$89,3,0)*VLOOKUP('Données projet'!$B$11,Paramètres!$A$1:$I$89,5,0)</f>
        <v>217.03499999999991</v>
      </c>
      <c r="BF61" s="13">
        <f t="shared" si="37"/>
        <v>53.469949591969474</v>
      </c>
      <c r="BG61" s="20">
        <f t="shared" si="7"/>
        <v>471.12945387267996</v>
      </c>
      <c r="BH61" s="59">
        <f t="shared" si="8"/>
        <v>731.24256447136838</v>
      </c>
      <c r="BI61" s="59">
        <f ca="1">AVERAGE(OFFSET($BH$3,0,0,'Données projet'!$E$11+1,1))-AVERAGE(OFFSET($H$3,0,0,'Données projet'!$E$11+1,1))</f>
        <v>308.85018589589453</v>
      </c>
      <c r="BJ61" s="59">
        <f t="shared" si="38"/>
        <v>302.59481222418219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11.128008015238736</v>
      </c>
      <c r="BQ61" s="21">
        <f>EXP(-LN(2)/25)*BQ60+(1-EXP(-LN(2)/25))/(LN(2)/25)*Calculateur!BL61*Calculateur!BN61*VLOOKUP('Données projet'!$B$11,Paramètres!$A$1:$I$89,3,0)*0.475*44/12</f>
        <v>11.762052282371283</v>
      </c>
      <c r="BR61" s="21">
        <f>EXP(-LN(2)/2)*BR60+(1-EXP(-LN(2)/2))/(LN(2)/2)*BL61*BO61*VLOOKUP('Données projet'!$B$11,Paramètres!$A$1:$I$89,3,0)*0.475*44/12</f>
        <v>1.1709429492338335</v>
      </c>
      <c r="BS61" s="22">
        <f t="shared" si="9"/>
        <v>24.061003246843853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9.375</v>
      </c>
      <c r="BY61" s="12">
        <f>IF('Données projet'!$A$114&gt;35,BY60+BX61-CG60,IF(A61&lt;'Données projet'!$A$114,$BV$205^A61,IF(A61='Données projet'!$A$114,'Données projet'!$B$114,BY60+BX61-CG60)))</f>
        <v>278.24999999999989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6.125</v>
      </c>
      <c r="CT61" s="12">
        <f>IF('Données projet'!$A$140&gt;35,CT60+CS61-DB60,IF(A61&lt;'Données projet'!$A$140,$CQ$205^A61,IF(A61='Données projet'!$A$140,'Données projet'!$B$140,CT60+CS61-DB60)))</f>
        <v>134.75000000000011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835.99746089785162</v>
      </c>
      <c r="S62" s="59">
        <f ca="1">AVERAGE(OFFSET($R$3,0,0,'Données projet'!$E$9+1,1))-AVERAGE(OFFSET($H$3,0,0,'Données projet'!$E$9+1,1))</f>
        <v>737.40414421611001</v>
      </c>
      <c r="T62" s="59">
        <f t="shared" si="34"/>
        <v>245.32893490531674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287.7999999999999</v>
      </c>
      <c r="AJ62" s="13">
        <f>AI62*VLOOKUP('Données projet'!$B$10,Paramètres!$A$1:$I$89,3,0)*VLOOKUP('Données projet'!$B$10,Paramètres!$A$1:$I$89,5,0)</f>
        <v>228.97367999999994</v>
      </c>
      <c r="AK62" s="13">
        <f t="shared" si="35"/>
        <v>56.060709423888284</v>
      </c>
      <c r="AL62" s="20">
        <f t="shared" si="4"/>
        <v>496.43489491327199</v>
      </c>
      <c r="AM62" s="59">
        <f t="shared" si="5"/>
        <v>757.12430210711477</v>
      </c>
      <c r="AN62" s="59">
        <f ca="1">AVERAGE(OFFSET($AM$3,0,0,'Données projet'!$E$10+1,1))-AVERAGE(OFFSET($H$3,0,0,'Données projet'!$E$10+1,1))</f>
        <v>377.28055430105911</v>
      </c>
      <c r="AO62" s="59">
        <f t="shared" si="36"/>
        <v>364.58250627635425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13.326981523084017</v>
      </c>
      <c r="AV62" s="21">
        <f>EXP(-LN(2)/25)*AV61+(1-EXP(-LN(2)/25))/(LN(2)/25)*Calculateur!AQ62*Calculateur!AS62*VLOOKUP('Données projet'!$B$10,Paramètres!$A$1:$I$89,3,0)*0.475*44/12</f>
        <v>15.63315084392991</v>
      </c>
      <c r="AW62" s="21">
        <f>EXP(-LN(2)/2)*AW61+(1-EXP(-LN(2)/2))/(LN(2)/2)*AQ62*AT62*VLOOKUP('Données projet'!$B$10,Paramètres!$A$1:$I$89,3,0)*0.475*44/12</f>
        <v>0.95445890725833005</v>
      </c>
      <c r="AX62" s="21">
        <f t="shared" si="6"/>
        <v>29.914591274272258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9.375</v>
      </c>
      <c r="BD62" s="12">
        <f>IF('Données projet'!$A$88&gt;35,BD61+BC62-BL61,IF(A62&lt;'Données projet'!$A$88,$BA$205^A62,IF(A62='Données projet'!$A$88,'Données projet'!$B$88,BD61+BC62-BL61)))</f>
        <v>287.62499999999989</v>
      </c>
      <c r="BE62" s="13">
        <f>BD62*VLOOKUP('Données projet'!$B$11,Paramètres!$A$1:$I$89,3,0)*VLOOKUP('Données projet'!$B$11,Paramètres!$A$1:$I$89,5,0)</f>
        <v>224.34749999999991</v>
      </c>
      <c r="BF62" s="13">
        <f t="shared" si="37"/>
        <v>55.058714525680429</v>
      </c>
      <c r="BG62" s="20">
        <f t="shared" si="7"/>
        <v>486.63249029889329</v>
      </c>
      <c r="BH62" s="59">
        <f t="shared" si="8"/>
        <v>747.32189749273607</v>
      </c>
      <c r="BI62" s="59">
        <f ca="1">AVERAGE(OFFSET($BH$3,0,0,'Données projet'!$E$11+1,1))-AVERAGE(OFFSET($H$3,0,0,'Données projet'!$E$11+1,1))</f>
        <v>308.85018589589453</v>
      </c>
      <c r="BJ62" s="59">
        <f t="shared" si="38"/>
        <v>302.59481222418219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10.909794565474591</v>
      </c>
      <c r="BQ62" s="21">
        <f>EXP(-LN(2)/25)*BQ61+(1-EXP(-LN(2)/25))/(LN(2)/25)*Calculateur!BL62*Calculateur!BN62*VLOOKUP('Données projet'!$B$11,Paramètres!$A$1:$I$89,3,0)*0.475*44/12</f>
        <v>11.440418344170393</v>
      </c>
      <c r="BR62" s="21">
        <f>EXP(-LN(2)/2)*BR61+(1-EXP(-LN(2)/2))/(LN(2)/2)*BL62*BO62*VLOOKUP('Données projet'!$B$11,Paramètres!$A$1:$I$89,3,0)*0.475*44/12</f>
        <v>0.82798169978581893</v>
      </c>
      <c r="BS62" s="22">
        <f t="shared" si="9"/>
        <v>23.178194609430804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9.375</v>
      </c>
      <c r="BY62" s="12">
        <f>IF('Données projet'!$A$114&gt;35,BY61+BX62-CG61,IF(A62&lt;'Données projet'!$A$114,$BV$205^A62,IF(A62='Données projet'!$A$114,'Données projet'!$B$114,BY61+BX62-CG61)))</f>
        <v>287.62499999999989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6.125</v>
      </c>
      <c r="CT62" s="12">
        <f>IF('Données projet'!$A$140&gt;35,CT61+CS62-DB61,IF(A62&lt;'Données projet'!$A$140,$CQ$205^A62,IF(A62='Données projet'!$A$140,'Données projet'!$B$140,CT61+CS62-DB61)))</f>
        <v>140.87500000000011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862.38640980142895</v>
      </c>
      <c r="S63" s="59">
        <f ca="1">AVERAGE(OFFSET($R$3,0,0,'Données projet'!$E$9+1,1))-AVERAGE(OFFSET($H$3,0,0,'Données projet'!$E$9+1,1))</f>
        <v>737.40414421611001</v>
      </c>
      <c r="T63" s="59">
        <f t="shared" si="34"/>
        <v>245.32893490531674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293.99999999999989</v>
      </c>
      <c r="AJ63" s="13">
        <f>AI63*VLOOKUP('Données projet'!$B$10,Paramètres!$A$1:$I$89,3,0)*VLOOKUP('Données projet'!$B$10,Paramètres!$A$1:$I$89,5,0)</f>
        <v>233.90639999999991</v>
      </c>
      <c r="AK63" s="13">
        <f t="shared" si="35"/>
        <v>57.126506840778347</v>
      </c>
      <c r="AL63" s="20">
        <f t="shared" si="4"/>
        <v>506.88231274768879</v>
      </c>
      <c r="AM63" s="59">
        <f t="shared" si="5"/>
        <v>768.13801907916627</v>
      </c>
      <c r="AN63" s="59">
        <f ca="1">AVERAGE(OFFSET($AM$3,0,0,'Données projet'!$E$10+1,1))-AVERAGE(OFFSET($H$3,0,0,'Données projet'!$E$10+1,1))</f>
        <v>377.28055430105911</v>
      </c>
      <c r="AO63" s="59">
        <f t="shared" si="36"/>
        <v>364.58250627635425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0.13250000000000001</v>
      </c>
      <c r="AS63" s="16">
        <f>IF(ISNA(VLOOKUP(A63,'Données projet'!$A$61:$I$81,6,0)),0%,VLOOKUP(A63,'Données projet'!$A$61:$I$81,6,0)*VLOOKUP('Données projet'!$B$10,Paramètres!$A$1:$I$89,7,0))</f>
        <v>0.13250000000000001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14.697142738061579</v>
      </c>
      <c r="AV63" s="21">
        <f>EXP(-LN(2)/25)*AV62+(1-EXP(-LN(2)/25))/(LN(2)/25)*Calculateur!AQ63*Calculateur!AS63*VLOOKUP('Données projet'!$B$10,Paramètres!$A$1:$I$89,3,0)*0.475*44/12</f>
        <v>16.830732887752983</v>
      </c>
      <c r="AW63" s="21">
        <f>EXP(-LN(2)/2)*AW62+(1-EXP(-LN(2)/2))/(LN(2)/2)*AQ63*AT63*VLOOKUP('Données projet'!$B$10,Paramètres!$A$1:$I$89,3,0)*0.475*44/12</f>
        <v>3.3022494120964314</v>
      </c>
      <c r="AX63" s="21">
        <f t="shared" si="6"/>
        <v>34.830125037910996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9.375</v>
      </c>
      <c r="BC63" s="12">
        <f t="array" ref="BC63">INDEX(BB:BB,MIN(IF(ISNUMBER(BB63:BB259),ROW(BB63:BB259),"")))</f>
        <v>9.375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231.65999999999991</v>
      </c>
      <c r="BF63" s="13">
        <f t="shared" si="37"/>
        <v>56.641461975682766</v>
      </c>
      <c r="BG63" s="20">
        <f t="shared" si="7"/>
        <v>502.125046274314</v>
      </c>
      <c r="BH63" s="59">
        <f t="shared" si="8"/>
        <v>763.38075260579149</v>
      </c>
      <c r="BI63" s="59">
        <f ca="1">AVERAGE(OFFSET($BH$3,0,0,'Données projet'!$E$11+1,1))-AVERAGE(OFFSET($H$3,0,0,'Données projet'!$E$11+1,1))</f>
        <v>308.85018589589453</v>
      </c>
      <c r="BJ63" s="59">
        <f t="shared" si="38"/>
        <v>302.59481222418219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0.1075</v>
      </c>
      <c r="BN63" s="16">
        <f>IF(ISNA(VLOOKUP(A63,'Données projet'!$A$87:$I$107,6,0)),0%,VLOOKUP(A63,'Données projet'!$A$87:$I$107,6,0)*VLOOKUP('Données projet'!$B$11,Paramètres!$A$1:$I$89,7,0))</f>
        <v>0.1075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15.052463640583639</v>
      </c>
      <c r="BQ63" s="21">
        <f>EXP(-LN(2)/25)*BQ62+(1-EXP(-LN(2)/25))/(LN(2)/25)*Calculateur!BL63*Calculateur!BN63*VLOOKUP('Données projet'!$B$11,Paramètres!$A$1:$I$89,3,0)*0.475*44/12</f>
        <v>15.467029387199036</v>
      </c>
      <c r="BR63" s="21">
        <f>EXP(-LN(2)/2)*BR62+(1-EXP(-LN(2)/2))/(LN(2)/2)*BL63*BO63*VLOOKUP('Données projet'!$B$11,Paramètres!$A$1:$I$89,3,0)*0.475*44/12</f>
        <v>9.2328956469752992</v>
      </c>
      <c r="BS63" s="22">
        <f t="shared" si="9"/>
        <v>39.752388674757974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297</v>
      </c>
      <c r="BW63" s="12">
        <f>VLOOKUP(A63,'Données projet'!$A$113:$I$133,9,0)</f>
        <v>9.375</v>
      </c>
      <c r="BX63" s="12">
        <f t="array" ref="BX63">INDEX(BW:BW,MIN(IF(ISNUMBER(BW63:BW259),ROW(BW63:BW259),"")))</f>
        <v>9.375</v>
      </c>
      <c r="BY63" s="12">
        <f>IF('Données projet'!$A$114&gt;35,BY62+BX63-CG62,IF(A63&lt;'Données projet'!$A$114,$BV$205^A63,IF(A63='Données projet'!$A$114,'Données projet'!$B$114,BY62+BX63-CG62)))</f>
        <v>296.99999999999989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47</v>
      </c>
      <c r="CH63" s="16" t="e">
        <f>IF(ISNA(VLOOKUP(A63,'Données projet'!$A$113:$I$133,5,0)),0%,VLOOKUP(A63,'Données projet'!$A$113:$I$133,5,0)*VLOOKUP('Données projet'!$B$12,Paramètres!$A$1:$I$89,7,0))</f>
        <v>#N/A</v>
      </c>
      <c r="CI63" s="16" t="e">
        <f>IF(ISNA(VLOOKUP(A63,'Données projet'!$A$113:$I$133,6,0)),0%,VLOOKUP(A63,'Données projet'!$A$113:$I$133,6,0)*VLOOKUP('Données projet'!$B$12,Paramètres!$A$1:$I$89,7,0))</f>
        <v>#N/A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147</v>
      </c>
      <c r="CR63" s="12">
        <f>VLOOKUP(A63,'Données projet'!$A$139:$I$159,9,0)</f>
        <v>6.125</v>
      </c>
      <c r="CS63" s="12">
        <f t="array" ref="CS63">INDEX(CR:CR,MIN(IF(ISNUMBER(CR63:CR259),ROW(CR63:CR259),"")))</f>
        <v>6.125</v>
      </c>
      <c r="CT63" s="12">
        <f>IF('Données projet'!$A$140&gt;35,CT62+CS63-DB62,IF(A63&lt;'Données projet'!$A$140,$CQ$205^A63,IF(A63='Données projet'!$A$140,'Données projet'!$B$140,CT62+CS63-DB62)))</f>
        <v>147.00000000000011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30</v>
      </c>
      <c r="DC63" s="16" t="e">
        <f>IF(ISNA(VLOOKUP(A63,'Données projet'!$A$139:$I$159,5,0)),0%,VLOOKUP(A63,'Données projet'!$A$139:$I$159,5,0)*VLOOKUP('Données projet'!$B$13,Paramètres!$A$1:$I$89,7,0))</f>
        <v>#N/A</v>
      </c>
      <c r="DD63" s="16" t="e">
        <f>IF(ISNA(VLOOKUP(A63,'Données projet'!$A$139:$I$159,6,0)),0%,VLOOKUP(A63,'Données projet'!$A$139:$I$159,6,0)*VLOOKUP('Données projet'!$B$13,Paramètres!$A$1:$I$89,7,0))</f>
        <v>#N/A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888.74249104268529</v>
      </c>
      <c r="S64" s="59">
        <f ca="1">AVERAGE(OFFSET($R$3,0,0,'Données projet'!$E$9+1,1))-AVERAGE(OFFSET($H$3,0,0,'Données projet'!$E$9+1,1))</f>
        <v>737.40414421611001</v>
      </c>
      <c r="T64" s="59">
        <f t="shared" si="34"/>
        <v>245.32893490531674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285.19999999999987</v>
      </c>
      <c r="AJ64" s="13">
        <f>AI64*VLOOKUP('Données projet'!$B$10,Paramètres!$A$1:$I$89,3,0)*VLOOKUP('Données projet'!$B$10,Paramètres!$A$1:$I$89,5,0)</f>
        <v>226.90511999999993</v>
      </c>
      <c r="AK64" s="13">
        <f t="shared" si="35"/>
        <v>55.612969408444364</v>
      </c>
      <c r="AL64" s="20">
        <f t="shared" si="4"/>
        <v>492.05233905304044</v>
      </c>
      <c r="AM64" s="59">
        <f t="shared" si="5"/>
        <v>753.86452049816978</v>
      </c>
      <c r="AN64" s="59">
        <f ca="1">AVERAGE(OFFSET($AM$3,0,0,'Données projet'!$E$10+1,1))-AVERAGE(OFFSET($H$3,0,0,'Données projet'!$E$10+1,1))</f>
        <v>377.28055430105911</v>
      </c>
      <c r="AO64" s="59">
        <f t="shared" si="36"/>
        <v>364.58250627635425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14.408940733340105</v>
      </c>
      <c r="AV64" s="21">
        <f>EXP(-LN(2)/25)*AV63+(1-EXP(-LN(2)/25))/(LN(2)/25)*Calculateur!AQ64*Calculateur!AS64*VLOOKUP('Données projet'!$B$10,Paramètres!$A$1:$I$89,3,0)*0.475*44/12</f>
        <v>16.370495611847602</v>
      </c>
      <c r="AW64" s="21">
        <f>EXP(-LN(2)/2)*AW63+(1-EXP(-LN(2)/2))/(LN(2)/2)*AQ64*AT64*VLOOKUP('Données projet'!$B$10,Paramètres!$A$1:$I$89,3,0)*0.475*44/12</f>
        <v>2.3350429524626768</v>
      </c>
      <c r="AX64" s="21">
        <f t="shared" si="6"/>
        <v>33.114479297650384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258.66666666666657</v>
      </c>
      <c r="BE64" s="13">
        <f>BD64*VLOOKUP('Données projet'!$B$11,Paramètres!$A$1:$I$89,3,0)*VLOOKUP('Données projet'!$B$11,Paramètres!$A$1:$I$89,5,0)</f>
        <v>201.75999999999993</v>
      </c>
      <c r="BF64" s="13">
        <f t="shared" si="37"/>
        <v>50.130765000424169</v>
      </c>
      <c r="BG64" s="20">
        <f t="shared" si="7"/>
        <v>438.70974904240529</v>
      </c>
      <c r="BH64" s="59">
        <f t="shared" si="8"/>
        <v>700.52193048753463</v>
      </c>
      <c r="BI64" s="59">
        <f ca="1">AVERAGE(OFFSET($BH$3,0,0,'Données projet'!$E$11+1,1))-AVERAGE(OFFSET($H$3,0,0,'Données projet'!$E$11+1,1))</f>
        <v>308.85018589589453</v>
      </c>
      <c r="BJ64" s="59">
        <f t="shared" si="38"/>
        <v>302.59481222418219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14.757294009688056</v>
      </c>
      <c r="BQ64" s="21">
        <f>EXP(-LN(2)/25)*BQ63+(1-EXP(-LN(2)/25))/(LN(2)/25)*Calculateur!BL64*Calculateur!BN64*VLOOKUP('Données projet'!$B$11,Paramètres!$A$1:$I$89,3,0)*0.475*44/12</f>
        <v>15.044082655230353</v>
      </c>
      <c r="BR64" s="21">
        <f>EXP(-LN(2)/2)*BR63+(1-EXP(-LN(2)/2))/(LN(2)/2)*BL64*BO64*VLOOKUP('Données projet'!$B$11,Paramètres!$A$1:$I$89,3,0)*0.475*44/12</f>
        <v>6.5286431219639907</v>
      </c>
      <c r="BS64" s="22">
        <f t="shared" si="9"/>
        <v>36.330019786882396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8.6666666666666661</v>
      </c>
      <c r="BY64" s="12">
        <f>IF('Données projet'!$A$114&gt;35,BY63+BX64-CG63,IF(A64&lt;'Données projet'!$A$114,$BV$205^A64,IF(A64='Données projet'!$A$114,'Données projet'!$B$114,BY63+BX64-CG63)))</f>
        <v>258.66666666666657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6.125</v>
      </c>
      <c r="CT64" s="12">
        <f>IF('Données projet'!$A$140&gt;35,CT63+CS64-DB63,IF(A64&lt;'Données projet'!$A$140,$CQ$205^A64,IF(A64='Données projet'!$A$140,'Données projet'!$B$140,CT63+CS64-DB63)))</f>
        <v>123.12500000000011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915.06695550529616</v>
      </c>
      <c r="S65" s="59">
        <f ca="1">AVERAGE(OFFSET($R$3,0,0,'Données projet'!$E$9+1,1))-AVERAGE(OFFSET($H$3,0,0,'Données projet'!$E$9+1,1))</f>
        <v>737.40414421611001</v>
      </c>
      <c r="T65" s="59">
        <f t="shared" si="34"/>
        <v>245.32893490531674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290.39999999999986</v>
      </c>
      <c r="AJ65" s="13">
        <f>AI65*VLOOKUP('Données projet'!$B$10,Paramètres!$A$1:$I$89,3,0)*VLOOKUP('Données projet'!$B$10,Paramètres!$A$1:$I$89,5,0)</f>
        <v>231.04223999999991</v>
      </c>
      <c r="AK65" s="13">
        <f t="shared" si="35"/>
        <v>56.507978852931409</v>
      </c>
      <c r="AL65" s="20">
        <f t="shared" si="4"/>
        <v>500.81663116885539</v>
      </c>
      <c r="AM65" s="59">
        <f t="shared" si="5"/>
        <v>763.17563412850677</v>
      </c>
      <c r="AN65" s="59">
        <f ca="1">AVERAGE(OFFSET($AM$3,0,0,'Données projet'!$E$10+1,1))-AVERAGE(OFFSET($H$3,0,0,'Données projet'!$E$10+1,1))</f>
        <v>377.28055430105911</v>
      </c>
      <c r="AO65" s="59">
        <f t="shared" si="36"/>
        <v>364.58250627635425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14.126390194145351</v>
      </c>
      <c r="AV65" s="21">
        <f>EXP(-LN(2)/25)*AV64+(1-EXP(-LN(2)/25))/(LN(2)/25)*Calculateur!AQ65*Calculateur!AS65*VLOOKUP('Données projet'!$B$10,Paramètres!$A$1:$I$89,3,0)*0.475*44/12</f>
        <v>15.922843548454681</v>
      </c>
      <c r="AW65" s="21">
        <f>EXP(-LN(2)/2)*AW64+(1-EXP(-LN(2)/2))/(LN(2)/2)*AQ65*AT65*VLOOKUP('Données projet'!$B$10,Paramètres!$A$1:$I$89,3,0)*0.475*44/12</f>
        <v>1.6511247060482159</v>
      </c>
      <c r="AX65" s="21">
        <f t="shared" si="6"/>
        <v>31.700358448648245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267.33333333333326</v>
      </c>
      <c r="BE65" s="13">
        <f>BD65*VLOOKUP('Données projet'!$B$11,Paramètres!$A$1:$I$89,3,0)*VLOOKUP('Données projet'!$B$11,Paramètres!$A$1:$I$89,5,0)</f>
        <v>208.51999999999995</v>
      </c>
      <c r="BF65" s="13">
        <f t="shared" si="37"/>
        <v>51.612035456318459</v>
      </c>
      <c r="BG65" s="20">
        <f t="shared" si="7"/>
        <v>453.06329508642119</v>
      </c>
      <c r="BH65" s="59">
        <f t="shared" si="8"/>
        <v>715.42229804607246</v>
      </c>
      <c r="BI65" s="59">
        <f ca="1">AVERAGE(OFFSET($BH$3,0,0,'Données projet'!$E$11+1,1))-AVERAGE(OFFSET($H$3,0,0,'Données projet'!$E$11+1,1))</f>
        <v>308.85018589589453</v>
      </c>
      <c r="BJ65" s="59">
        <f t="shared" si="38"/>
        <v>302.59481222418219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14.467912475218638</v>
      </c>
      <c r="BQ65" s="21">
        <f>EXP(-LN(2)/25)*BQ64+(1-EXP(-LN(2)/25))/(LN(2)/25)*Calculateur!BL65*Calculateur!BN65*VLOOKUP('Données projet'!$B$11,Paramètres!$A$1:$I$89,3,0)*0.475*44/12</f>
        <v>14.632701423889156</v>
      </c>
      <c r="BR65" s="21">
        <f>EXP(-LN(2)/2)*BR64+(1-EXP(-LN(2)/2))/(LN(2)/2)*BL65*BO65*VLOOKUP('Données projet'!$B$11,Paramètres!$A$1:$I$89,3,0)*0.475*44/12</f>
        <v>4.6164478234876505</v>
      </c>
      <c r="BS65" s="22">
        <f t="shared" si="9"/>
        <v>33.717061722595446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8.6666666666666661</v>
      </c>
      <c r="BY65" s="12">
        <f>IF('Données projet'!$A$114&gt;35,BY64+BX65-CG64,IF(A65&lt;'Données projet'!$A$114,$BV$205^A65,IF(A65='Données projet'!$A$114,'Données projet'!$B$114,BY64+BX65-CG64)))</f>
        <v>267.33333333333326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6.125</v>
      </c>
      <c r="CT65" s="12">
        <f>IF('Données projet'!$A$140&gt;35,CT64+CS65-DB64,IF(A65&lt;'Données projet'!$A$140,$CQ$205^A65,IF(A65='Données projet'!$A$140,'Données projet'!$B$140,CT64+CS65-DB64)))</f>
        <v>129.25000000000011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941.36095892580522</v>
      </c>
      <c r="S66" s="59">
        <f ca="1">AVERAGE(OFFSET($R$3,0,0,'Données projet'!$E$9+1,1))-AVERAGE(OFFSET($H$3,0,0,'Données projet'!$E$9+1,1))</f>
        <v>737.40414421611001</v>
      </c>
      <c r="T66" s="59">
        <f t="shared" si="34"/>
        <v>245.32893490531674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295.59999999999985</v>
      </c>
      <c r="AJ66" s="13">
        <f>AI66*VLOOKUP('Données projet'!$B$10,Paramètres!$A$1:$I$89,3,0)*VLOOKUP('Données projet'!$B$10,Paramètres!$A$1:$I$89,5,0)</f>
        <v>235.17935999999989</v>
      </c>
      <c r="AK66" s="13">
        <f t="shared" si="35"/>
        <v>57.401124668909425</v>
      </c>
      <c r="AL66" s="20">
        <f t="shared" si="4"/>
        <v>509.57767746501708</v>
      </c>
      <c r="AM66" s="59">
        <f t="shared" si="5"/>
        <v>772.47401580842325</v>
      </c>
      <c r="AN66" s="59">
        <f ca="1">AVERAGE(OFFSET($AM$3,0,0,'Données projet'!$E$10+1,1))-AVERAGE(OFFSET($H$3,0,0,'Données projet'!$E$10+1,1))</f>
        <v>377.28055430105911</v>
      </c>
      <c r="AO66" s="59">
        <f t="shared" si="36"/>
        <v>364.58250627635425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13.849380298685395</v>
      </c>
      <c r="AV66" s="21">
        <f>EXP(-LN(2)/25)*AV65+(1-EXP(-LN(2)/25))/(LN(2)/25)*Calculateur!AQ66*Calculateur!AS66*VLOOKUP('Données projet'!$B$10,Paramètres!$A$1:$I$89,3,0)*0.475*44/12</f>
        <v>15.487432554276237</v>
      </c>
      <c r="AW66" s="21">
        <f>EXP(-LN(2)/2)*AW65+(1-EXP(-LN(2)/2))/(LN(2)/2)*AQ66*AT66*VLOOKUP('Données projet'!$B$10,Paramètres!$A$1:$I$89,3,0)*0.475*44/12</f>
        <v>1.1675214762313384</v>
      </c>
      <c r="AX66" s="21">
        <f t="shared" si="6"/>
        <v>30.504334329192972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275.99999999999994</v>
      </c>
      <c r="BE66" s="13">
        <f>BD66*VLOOKUP('Données projet'!$B$11,Paramètres!$A$1:$I$89,3,0)*VLOOKUP('Données projet'!$B$11,Paramètres!$A$1:$I$89,5,0)</f>
        <v>215.27999999999997</v>
      </c>
      <c r="BF66" s="13">
        <f t="shared" si="37"/>
        <v>53.087725740853138</v>
      </c>
      <c r="BG66" s="20">
        <f t="shared" si="7"/>
        <v>467.40712233198587</v>
      </c>
      <c r="BH66" s="59">
        <f t="shared" si="8"/>
        <v>730.30346067539199</v>
      </c>
      <c r="BI66" s="59">
        <f ca="1">AVERAGE(OFFSET($BH$3,0,0,'Données projet'!$E$11+1,1))-AVERAGE(OFFSET($H$3,0,0,'Données projet'!$E$11+1,1))</f>
        <v>308.85018589589453</v>
      </c>
      <c r="BJ66" s="59">
        <f t="shared" si="38"/>
        <v>302.59481222418219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14.184205536134858</v>
      </c>
      <c r="BQ66" s="21">
        <f>EXP(-LN(2)/25)*BQ65+(1-EXP(-LN(2)/25))/(LN(2)/25)*Calculateur!BL66*Calculateur!BN66*VLOOKUP('Données projet'!$B$11,Paramètres!$A$1:$I$89,3,0)*0.475*44/12</f>
        <v>14.232569433952582</v>
      </c>
      <c r="BR66" s="21">
        <f>EXP(-LN(2)/2)*BR65+(1-EXP(-LN(2)/2))/(LN(2)/2)*BL66*BO66*VLOOKUP('Données projet'!$B$11,Paramètres!$A$1:$I$89,3,0)*0.475*44/12</f>
        <v>3.2643215609819958</v>
      </c>
      <c r="BS66" s="22">
        <f t="shared" si="9"/>
        <v>31.681096531069436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8.6666666666666661</v>
      </c>
      <c r="BY66" s="12">
        <f>IF('Données projet'!$A$114&gt;35,BY65+BX66-CG65,IF(A66&lt;'Données projet'!$A$114,$BV$205^A66,IF(A66='Données projet'!$A$114,'Données projet'!$B$114,BY65+BX66-CG65)))</f>
        <v>275.99999999999994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6.125</v>
      </c>
      <c r="CT66" s="12">
        <f>IF('Données projet'!$A$140&gt;35,CT65+CS66-DB65,IF(A66&lt;'Données projet'!$A$140,$CQ$205^A66,IF(A66='Données projet'!$A$140,'Données projet'!$B$140,CT65+CS66-DB65)))</f>
        <v>135.37500000000011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967.62557308164673</v>
      </c>
      <c r="S67" s="59">
        <f ca="1">AVERAGE(OFFSET($R$3,0,0,'Données projet'!$E$9+1,1))-AVERAGE(OFFSET($H$3,0,0,'Données projet'!$E$9+1,1))</f>
        <v>737.40414421611001</v>
      </c>
      <c r="T67" s="59">
        <f t="shared" si="34"/>
        <v>245.32893490531674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300.79999999999984</v>
      </c>
      <c r="AJ67" s="13">
        <f>AI67*VLOOKUP('Données projet'!$B$10,Paramètres!$A$1:$I$89,3,0)*VLOOKUP('Données projet'!$B$10,Paramètres!$A$1:$I$89,5,0)</f>
        <v>239.3164799999999</v>
      </c>
      <c r="AK67" s="13">
        <f t="shared" si="35"/>
        <v>58.292443422481945</v>
      </c>
      <c r="AL67" s="20">
        <f t="shared" si="4"/>
        <v>518.33554162748919</v>
      </c>
      <c r="AM67" s="59">
        <f t="shared" si="5"/>
        <v>781.75989378704389</v>
      </c>
      <c r="AN67" s="59">
        <f ca="1">AVERAGE(OFFSET($AM$3,0,0,'Données projet'!$E$10+1,1))-AVERAGE(OFFSET($H$3,0,0,'Données projet'!$E$10+1,1))</f>
        <v>377.28055430105911</v>
      </c>
      <c r="AO67" s="59">
        <f t="shared" si="36"/>
        <v>364.58250627635425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13.577802398316056</v>
      </c>
      <c r="AV67" s="21">
        <f>EXP(-LN(2)/25)*AV66+(1-EXP(-LN(2)/25))/(LN(2)/25)*Calculateur!AQ67*Calculateur!AS67*VLOOKUP('Données projet'!$B$10,Paramètres!$A$1:$I$89,3,0)*0.475*44/12</f>
        <v>15.063927896630872</v>
      </c>
      <c r="AW67" s="21">
        <f>EXP(-LN(2)/2)*AW66+(1-EXP(-LN(2)/2))/(LN(2)/2)*AQ67*AT67*VLOOKUP('Données projet'!$B$10,Paramètres!$A$1:$I$89,3,0)*0.475*44/12</f>
        <v>0.82556235302410796</v>
      </c>
      <c r="AX67" s="21">
        <f t="shared" si="6"/>
        <v>29.467292647971036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284.66666666666663</v>
      </c>
      <c r="BE67" s="13">
        <f>BD67*VLOOKUP('Données projet'!$B$11,Paramètres!$A$1:$I$89,3,0)*VLOOKUP('Données projet'!$B$11,Paramètres!$A$1:$I$89,5,0)</f>
        <v>222.04</v>
      </c>
      <c r="BF67" s="13">
        <f t="shared" si="37"/>
        <v>54.558031180803546</v>
      </c>
      <c r="BG67" s="20">
        <f t="shared" si="7"/>
        <v>481.74157097323285</v>
      </c>
      <c r="BH67" s="59">
        <f t="shared" si="8"/>
        <v>745.16592313278761</v>
      </c>
      <c r="BI67" s="59">
        <f ca="1">AVERAGE(OFFSET($BH$3,0,0,'Données projet'!$E$11+1,1))-AVERAGE(OFFSET($H$3,0,0,'Données projet'!$E$11+1,1))</f>
        <v>308.85018589589453</v>
      </c>
      <c r="BJ67" s="59">
        <f t="shared" si="38"/>
        <v>302.59481222418219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13.906061917082365</v>
      </c>
      <c r="BQ67" s="21">
        <f>EXP(-LN(2)/25)*BQ66+(1-EXP(-LN(2)/25))/(LN(2)/25)*Calculateur!BL67*Calculateur!BN67*VLOOKUP('Données projet'!$B$11,Paramètres!$A$1:$I$89,3,0)*0.475*44/12</f>
        <v>13.843379074322851</v>
      </c>
      <c r="BR67" s="21">
        <f>EXP(-LN(2)/2)*BR66+(1-EXP(-LN(2)/2))/(LN(2)/2)*BL67*BO67*VLOOKUP('Données projet'!$B$11,Paramètres!$A$1:$I$89,3,0)*0.475*44/12</f>
        <v>2.3082239117438257</v>
      </c>
      <c r="BS67" s="22">
        <f t="shared" si="9"/>
        <v>30.057664903149043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8.6666666666666661</v>
      </c>
      <c r="BY67" s="12">
        <f>IF('Données projet'!$A$114&gt;35,BY66+BX67-CG66,IF(A67&lt;'Données projet'!$A$114,$BV$205^A67,IF(A67='Données projet'!$A$114,'Données projet'!$B$114,BY66+BX67-CG66)))</f>
        <v>284.66666666666663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6.125</v>
      </c>
      <c r="CT67" s="12">
        <f>IF('Données projet'!$A$140&gt;35,CT66+CS67-DB66,IF(A67&lt;'Données projet'!$A$140,$CQ$205^A67,IF(A67='Données projet'!$A$140,'Données projet'!$B$140,CT66+CS67-DB66)))</f>
        <v>141.50000000000011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993.86179526719252</v>
      </c>
      <c r="S68" s="59">
        <f ca="1">AVERAGE(OFFSET($R$3,0,0,'Données projet'!$E$9+1,1))-AVERAGE(OFFSET($H$3,0,0,'Données projet'!$E$9+1,1))</f>
        <v>737.40414421611001</v>
      </c>
      <c r="T68" s="59">
        <f t="shared" si="34"/>
        <v>245.32893490531674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306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305.99999999999983</v>
      </c>
      <c r="AJ68" s="13">
        <f>AI68*VLOOKUP('Données projet'!$B$10,Paramètres!$A$1:$I$89,3,0)*VLOOKUP('Données projet'!$B$10,Paramètres!$A$1:$I$89,5,0)</f>
        <v>243.45359999999988</v>
      </c>
      <c r="AK68" s="13">
        <f t="shared" si="35"/>
        <v>59.181970343065267</v>
      </c>
      <c r="AL68" s="20">
        <f t="shared" ref="AL68:AL131" si="58">(AJ68+AK68)*0.475*44/12</f>
        <v>527.09028501417163</v>
      </c>
      <c r="AM68" s="59">
        <f t="shared" ref="AM68:AM131" si="59">AL68+(AD68+AE68)*44/12</f>
        <v>791.03349113062677</v>
      </c>
      <c r="AN68" s="59">
        <f ca="1">AVERAGE(OFFSET($AM$3,0,0,'Données projet'!$E$10+1,1))-AVERAGE(OFFSET($H$3,0,0,'Données projet'!$E$10+1,1))</f>
        <v>377.28055430105911</v>
      </c>
      <c r="AO68" s="59">
        <f t="shared" si="36"/>
        <v>364.58250627635425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13</v>
      </c>
      <c r="AR68" s="16">
        <f>IF(ISNA(VLOOKUP(A68,'Données projet'!$A$61:$I$81,5,0)),0%,VLOOKUP(A68,'Données projet'!$A$61:$I$81,5,0)*VLOOKUP('Données projet'!$B$10,Paramètres!$A$1:$I$89,7,0))</f>
        <v>0.13250000000000001</v>
      </c>
      <c r="AS68" s="16">
        <f>IF(ISNA(VLOOKUP(A68,'Données projet'!$A$61:$I$81,6,0)),0%,VLOOKUP(A68,'Données projet'!$A$61:$I$81,6,0)*VLOOKUP('Données projet'!$B$10,Paramètres!$A$1:$I$89,7,0))</f>
        <v>0.13250000000000001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14.826509797916721</v>
      </c>
      <c r="AV68" s="21">
        <f>EXP(-LN(2)/25)*AV67+(1-EXP(-LN(2)/25))/(LN(2)/25)*Calculateur!AQ68*Calculateur!AS68*VLOOKUP('Données projet'!$B$10,Paramètres!$A$1:$I$89,3,0)*0.475*44/12</f>
        <v>16.160998845041828</v>
      </c>
      <c r="AW68" s="21">
        <f>EXP(-LN(2)/2)*AW67+(1-EXP(-LN(2)/2))/(LN(2)/2)*AQ68*AT68*VLOOKUP('Données projet'!$B$10,Paramètres!$A$1:$I$89,3,0)*0.475*44/12</f>
        <v>3.0234382812108214</v>
      </c>
      <c r="AX68" s="21">
        <f t="shared" ref="AX68:AX131" si="60">SUM(AU68:AW68)</f>
        <v>34.010946924169367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293.33333333333331</v>
      </c>
      <c r="BE68" s="13">
        <f>BD68*VLOOKUP('Données projet'!$B$11,Paramètres!$A$1:$I$89,3,0)*VLOOKUP('Données projet'!$B$11,Paramètres!$A$1:$I$89,5,0)</f>
        <v>228.79999999999998</v>
      </c>
      <c r="BF68" s="13">
        <f t="shared" si="37"/>
        <v>56.023134533701196</v>
      </c>
      <c r="BG68" s="20">
        <f t="shared" ref="BG68:BG131" si="61">(BE68+BF68)*0.475*44/12</f>
        <v>496.06695931286293</v>
      </c>
      <c r="BH68" s="59">
        <f t="shared" ref="BH68:BH131" si="62">BG68+(AY68+AZ68)*44/12</f>
        <v>760.01016542931814</v>
      </c>
      <c r="BI68" s="59">
        <f ca="1">AVERAGE(OFFSET($BH$3,0,0,'Données projet'!$E$11+1,1))-AVERAGE(OFFSET($H$3,0,0,'Données projet'!$E$11+1,1))</f>
        <v>308.85018589589453</v>
      </c>
      <c r="BJ68" s="59">
        <f t="shared" si="38"/>
        <v>302.59481222418219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13.633372524748635</v>
      </c>
      <c r="BQ68" s="21">
        <f>EXP(-LN(2)/25)*BQ67+(1-EXP(-LN(2)/25))/(LN(2)/25)*Calculateur!BL68*Calculateur!BN68*VLOOKUP('Données projet'!$B$11,Paramètres!$A$1:$I$89,3,0)*0.475*44/12</f>
        <v>13.464831145543826</v>
      </c>
      <c r="BR68" s="21">
        <f>EXP(-LN(2)/2)*BR67+(1-EXP(-LN(2)/2))/(LN(2)/2)*BL68*BO68*VLOOKUP('Données projet'!$B$11,Paramètres!$A$1:$I$89,3,0)*0.475*44/12</f>
        <v>1.6321607804909983</v>
      </c>
      <c r="BS68" s="22">
        <f t="shared" ref="BS68:BS131" si="63">SUM(BP68:BR68)</f>
        <v>28.730364450783462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8.6666666666666661</v>
      </c>
      <c r="BY68" s="12">
        <f>IF('Données projet'!$A$114&gt;35,BY67+BX68-CG67,IF(A68&lt;'Données projet'!$A$114,$BV$205^A68,IF(A68='Données projet'!$A$114,'Données projet'!$B$114,BY67+BX68-CG67)))</f>
        <v>293.33333333333331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6.125</v>
      </c>
      <c r="CT68" s="12">
        <f>IF('Données projet'!$A$140&gt;35,CT67+CS68-DB67,IF(A68&lt;'Données projet'!$A$140,$CQ$205^A68,IF(A68='Données projet'!$A$140,'Données projet'!$B$140,CT67+CS68-DB67)))</f>
        <v>147.62500000000011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1020.0705563729103</v>
      </c>
      <c r="S69" s="59">
        <f ca="1">AVERAGE(OFFSET($R$3,0,0,'Données projet'!$E$9+1,1))-AVERAGE(OFFSET($H$3,0,0,'Données projet'!$E$9+1,1))</f>
        <v>737.40414421611001</v>
      </c>
      <c r="T69" s="59">
        <f t="shared" ref="T69:T132" si="88">$T$3</f>
        <v>245.32893490531674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297.59999999999985</v>
      </c>
      <c r="AJ69" s="13">
        <f>AI69*VLOOKUP('Données projet'!$B$10,Paramètres!$A$1:$I$89,3,0)*VLOOKUP('Données projet'!$B$10,Paramètres!$A$1:$I$89,5,0)</f>
        <v>236.7705599999999</v>
      </c>
      <c r="AK69" s="13">
        <f t="shared" ref="AK69:AK132" si="89">EXP(-1.0587+0.8836*LN(AJ69)+0.284)</f>
        <v>57.744153841586879</v>
      </c>
      <c r="AL69" s="20">
        <f t="shared" si="58"/>
        <v>512.9464599407637</v>
      </c>
      <c r="AM69" s="59">
        <f t="shared" si="59"/>
        <v>777.39951905795078</v>
      </c>
      <c r="AN69" s="59">
        <f ca="1">AVERAGE(OFFSET($AM$3,0,0,'Données projet'!$E$10+1,1))-AVERAGE(OFFSET($H$3,0,0,'Données projet'!$E$10+1,1))</f>
        <v>377.28055430105911</v>
      </c>
      <c r="AO69" s="59">
        <f t="shared" ref="AO69:AO132" si="90">$AO$3</f>
        <v>364.58250627635425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14.535770984057601</v>
      </c>
      <c r="AV69" s="21">
        <f>EXP(-LN(2)/25)*AV68+(1-EXP(-LN(2)/25))/(LN(2)/25)*Calculateur!AQ69*Calculateur!AS69*VLOOKUP('Données projet'!$B$10,Paramètres!$A$1:$I$89,3,0)*0.475*44/12</f>
        <v>15.719075481754166</v>
      </c>
      <c r="AW69" s="21">
        <f>EXP(-LN(2)/2)*AW68+(1-EXP(-LN(2)/2))/(LN(2)/2)*AQ69*AT69*VLOOKUP('Données projet'!$B$10,Paramètres!$A$1:$I$89,3,0)*0.475*44/12</f>
        <v>2.1378937111431719</v>
      </c>
      <c r="AX69" s="21">
        <f t="shared" si="60"/>
        <v>32.392740176954938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</v>
      </c>
      <c r="BE69" s="13">
        <f>BD69*VLOOKUP('Données projet'!$B$11,Paramètres!$A$1:$I$89,3,0)*VLOOKUP('Données projet'!$B$11,Paramètres!$A$1:$I$89,5,0)</f>
        <v>235.56</v>
      </c>
      <c r="BF69" s="13">
        <f t="shared" ref="BF69:BF132" si="91">EXP(-1.0587+0.8836*LN(BE69)+0.284)</f>
        <v>57.483207143847721</v>
      </c>
      <c r="BG69" s="20">
        <f t="shared" si="61"/>
        <v>510.38358577553481</v>
      </c>
      <c r="BH69" s="59">
        <f t="shared" si="62"/>
        <v>774.83664489272189</v>
      </c>
      <c r="BI69" s="59">
        <f ca="1">AVERAGE(OFFSET($BH$3,0,0,'Données projet'!$E$11+1,1))-AVERAGE(OFFSET($H$3,0,0,'Données projet'!$E$11+1,1))</f>
        <v>308.85018589589453</v>
      </c>
      <c r="BJ69" s="59">
        <f t="shared" ref="BJ69:BJ132" si="92">$BJ$3</f>
        <v>302.59481222418219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13.366030405074463</v>
      </c>
      <c r="BQ69" s="21">
        <f>EXP(-LN(2)/25)*BQ68+(1-EXP(-LN(2)/25))/(LN(2)/25)*Calculateur!BL69*Calculateur!BN69*VLOOKUP('Données projet'!$B$11,Paramètres!$A$1:$I$89,3,0)*0.475*44/12</f>
        <v>13.096634629784235</v>
      </c>
      <c r="BR69" s="21">
        <f>EXP(-LN(2)/2)*BR68+(1-EXP(-LN(2)/2))/(LN(2)/2)*BL69*BO69*VLOOKUP('Données projet'!$B$11,Paramètres!$A$1:$I$89,3,0)*0.475*44/12</f>
        <v>1.1541119558719131</v>
      </c>
      <c r="BS69" s="22">
        <f t="shared" si="63"/>
        <v>27.61677699073061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8.6666666666666661</v>
      </c>
      <c r="BY69" s="12">
        <f>IF('Données projet'!$A$114&gt;35,BY68+BX69-CG68,IF(A69&lt;'Données projet'!$A$114,$BV$205^A69,IF(A69='Données projet'!$A$114,'Données projet'!$B$114,BY68+BX69-CG68)))</f>
        <v>302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6.125</v>
      </c>
      <c r="CT69" s="12">
        <f>IF('Données projet'!$A$140&gt;35,CT68+CS69-DB68,IF(A69&lt;'Données projet'!$A$140,$CQ$205^A69,IF(A69='Données projet'!$A$140,'Données projet'!$B$140,CT68+CS69-DB68)))</f>
        <v>153.75000000000011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899.35104869765041</v>
      </c>
      <c r="S70" s="59">
        <f ca="1">AVERAGE(OFFSET($R$3,0,0,'Données projet'!$E$9+1,1))-AVERAGE(OFFSET($H$3,0,0,'Données projet'!$E$9+1,1))</f>
        <v>737.40414421611001</v>
      </c>
      <c r="T70" s="59">
        <f t="shared" si="88"/>
        <v>245.32893490531674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302.19999999999987</v>
      </c>
      <c r="AJ70" s="13">
        <f>AI70*VLOOKUP('Données projet'!$B$10,Paramètres!$A$1:$I$89,3,0)*VLOOKUP('Données projet'!$B$10,Paramètres!$A$1:$I$89,5,0)</f>
        <v>240.43031999999991</v>
      </c>
      <c r="AK70" s="13">
        <f t="shared" si="89"/>
        <v>58.532106271380506</v>
      </c>
      <c r="AL70" s="20">
        <f t="shared" si="58"/>
        <v>520.69289242265415</v>
      </c>
      <c r="AM70" s="59">
        <f t="shared" si="59"/>
        <v>785.646959730871</v>
      </c>
      <c r="AN70" s="59">
        <f ca="1">AVERAGE(OFFSET($AM$3,0,0,'Données projet'!$E$10+1,1))-AVERAGE(OFFSET($H$3,0,0,'Données projet'!$E$10+1,1))</f>
        <v>377.28055430105911</v>
      </c>
      <c r="AO70" s="59">
        <f t="shared" si="90"/>
        <v>364.58250627635425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14.250733381005093</v>
      </c>
      <c r="AV70" s="21">
        <f>EXP(-LN(2)/25)*AV69+(1-EXP(-LN(2)/25))/(LN(2)/25)*Calculateur!AQ70*Calculateur!AS70*VLOOKUP('Données projet'!$B$10,Paramètres!$A$1:$I$89,3,0)*0.475*44/12</f>
        <v>15.289236536075345</v>
      </c>
      <c r="AW70" s="21">
        <f>EXP(-LN(2)/2)*AW69+(1-EXP(-LN(2)/2))/(LN(2)/2)*AQ70*AT70*VLOOKUP('Données projet'!$B$10,Paramètres!$A$1:$I$89,3,0)*0.475*44/12</f>
        <v>1.5117191406054111</v>
      </c>
      <c r="AX70" s="21">
        <f t="shared" si="60"/>
        <v>31.051689057685849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310.66666666666669</v>
      </c>
      <c r="BE70" s="13">
        <f>BD70*VLOOKUP('Données projet'!$B$11,Paramètres!$A$1:$I$89,3,0)*VLOOKUP('Données projet'!$B$11,Paramètres!$A$1:$I$89,5,0)</f>
        <v>242.32000000000002</v>
      </c>
      <c r="BF70" s="13">
        <f t="shared" si="91"/>
        <v>58.938409961900859</v>
      </c>
      <c r="BG70" s="20">
        <f t="shared" si="61"/>
        <v>524.69173068364398</v>
      </c>
      <c r="BH70" s="59">
        <f t="shared" si="62"/>
        <v>789.64579799186095</v>
      </c>
      <c r="BI70" s="59">
        <f ca="1">AVERAGE(OFFSET($BH$3,0,0,'Données projet'!$E$11+1,1))-AVERAGE(OFFSET($H$3,0,0,'Données projet'!$E$11+1,1))</f>
        <v>308.85018589589453</v>
      </c>
      <c r="BJ70" s="59">
        <f t="shared" si="92"/>
        <v>302.59481222418219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13.10393070130451</v>
      </c>
      <c r="BQ70" s="21">
        <f>EXP(-LN(2)/25)*BQ69+(1-EXP(-LN(2)/25))/(LN(2)/25)*Calculateur!BL70*Calculateur!BN70*VLOOKUP('Données projet'!$B$11,Paramètres!$A$1:$I$89,3,0)*0.475*44/12</f>
        <v>12.738506467110703</v>
      </c>
      <c r="BR70" s="21">
        <f>EXP(-LN(2)/2)*BR69+(1-EXP(-LN(2)/2))/(LN(2)/2)*BL70*BO70*VLOOKUP('Données projet'!$B$11,Paramètres!$A$1:$I$89,3,0)*0.475*44/12</f>
        <v>0.81608039024549928</v>
      </c>
      <c r="BS70" s="22">
        <f t="shared" si="63"/>
        <v>26.658517558660712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8.6666666666666661</v>
      </c>
      <c r="BY70" s="12">
        <f>IF('Données projet'!$A$114&gt;35,BY69+BX70-CG69,IF(A70&lt;'Données projet'!$A$114,$BV$205^A70,IF(A70='Données projet'!$A$114,'Données projet'!$B$114,BY69+BX70-CG69)))</f>
        <v>310.66666666666669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6.125</v>
      </c>
      <c r="CT70" s="12">
        <f>IF('Données projet'!$A$140&gt;35,CT69+CS70-DB69,IF(A70&lt;'Données projet'!$A$140,$CQ$205^A70,IF(A70='Données projet'!$A$140,'Données projet'!$B$140,CT69+CS70-DB69)))</f>
        <v>159.87500000000011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924.23339436516028</v>
      </c>
      <c r="S71" s="59">
        <f ca="1">AVERAGE(OFFSET($R$3,0,0,'Données projet'!$E$9+1,1))-AVERAGE(OFFSET($H$3,0,0,'Données projet'!$E$9+1,1))</f>
        <v>737.40414421611001</v>
      </c>
      <c r="T71" s="59">
        <f t="shared" si="88"/>
        <v>245.32893490531674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306.7999999999999</v>
      </c>
      <c r="AJ71" s="13">
        <f>AI71*VLOOKUP('Données projet'!$B$10,Paramètres!$A$1:$I$89,3,0)*VLOOKUP('Données projet'!$B$10,Paramètres!$A$1:$I$89,5,0)</f>
        <v>244.09007999999994</v>
      </c>
      <c r="AK71" s="13">
        <f t="shared" si="89"/>
        <v>59.318663780863893</v>
      </c>
      <c r="AL71" s="20">
        <f t="shared" si="58"/>
        <v>528.43689541833794</v>
      </c>
      <c r="AM71" s="59">
        <f t="shared" si="59"/>
        <v>793.88327954555677</v>
      </c>
      <c r="AN71" s="59">
        <f ca="1">AVERAGE(OFFSET($AM$3,0,0,'Données projet'!$E$10+1,1))-AVERAGE(OFFSET($H$3,0,0,'Données projet'!$E$10+1,1))</f>
        <v>377.28055430105911</v>
      </c>
      <c r="AO71" s="59">
        <f t="shared" si="90"/>
        <v>364.58250627635425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13.971285191492672</v>
      </c>
      <c r="AV71" s="21">
        <f>EXP(-LN(2)/25)*AV70+(1-EXP(-LN(2)/25))/(LN(2)/25)*Calculateur!AQ71*Calculateur!AS71*VLOOKUP('Données projet'!$B$10,Paramètres!$A$1:$I$89,3,0)*0.475*44/12</f>
        <v>14.871151558970359</v>
      </c>
      <c r="AW71" s="21">
        <f>EXP(-LN(2)/2)*AW70+(1-EXP(-LN(2)/2))/(LN(2)/2)*AQ71*AT71*VLOOKUP('Données projet'!$B$10,Paramètres!$A$1:$I$89,3,0)*0.475*44/12</f>
        <v>1.0689468555715862</v>
      </c>
      <c r="AX71" s="21">
        <f t="shared" si="60"/>
        <v>29.911383606034615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319.33333333333337</v>
      </c>
      <c r="BE71" s="13">
        <f>BD71*VLOOKUP('Données projet'!$B$11,Paramètres!$A$1:$I$89,3,0)*VLOOKUP('Données projet'!$B$11,Paramètres!$A$1:$I$89,5,0)</f>
        <v>249.08000000000004</v>
      </c>
      <c r="BF71" s="13">
        <f t="shared" si="91"/>
        <v>60.388894447487807</v>
      </c>
      <c r="BG71" s="20">
        <f t="shared" si="61"/>
        <v>538.99165782937473</v>
      </c>
      <c r="BH71" s="59">
        <f t="shared" si="62"/>
        <v>804.43804195659357</v>
      </c>
      <c r="BI71" s="59">
        <f ca="1">AVERAGE(OFFSET($BH$3,0,0,'Données projet'!$E$11+1,1))-AVERAGE(OFFSET($H$3,0,0,'Données projet'!$E$11+1,1))</f>
        <v>308.85018589589453</v>
      </c>
      <c r="BJ71" s="59">
        <f t="shared" si="92"/>
        <v>302.59481222418219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12.846970612860451</v>
      </c>
      <c r="BQ71" s="21">
        <f>EXP(-LN(2)/25)*BQ70+(1-EXP(-LN(2)/25))/(LN(2)/25)*Calculateur!BL71*Calculateur!BN71*VLOOKUP('Données projet'!$B$11,Paramètres!$A$1:$I$89,3,0)*0.475*44/12</f>
        <v>12.39017133787862</v>
      </c>
      <c r="BR71" s="21">
        <f>EXP(-LN(2)/2)*BR70+(1-EXP(-LN(2)/2))/(LN(2)/2)*BL71*BO71*VLOOKUP('Données projet'!$B$11,Paramètres!$A$1:$I$89,3,0)*0.475*44/12</f>
        <v>0.57705597793595664</v>
      </c>
      <c r="BS71" s="22">
        <f t="shared" si="63"/>
        <v>25.814197928675028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8.6666666666666661</v>
      </c>
      <c r="BY71" s="12">
        <f>IF('Données projet'!$A$114&gt;35,BY70+BX71-CG70,IF(A71&lt;'Données projet'!$A$114,$BV$205^A71,IF(A71='Données projet'!$A$114,'Données projet'!$B$114,BY70+BX71-CG70)))</f>
        <v>319.33333333333337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>
        <f>VLOOKUP(A71,'Données projet'!$A$139:$I$159,2,0)</f>
        <v>166</v>
      </c>
      <c r="CR71" s="12">
        <f>VLOOKUP(A71,'Données projet'!$A$139:$I$159,9,0)</f>
        <v>6.125</v>
      </c>
      <c r="CS71" s="12">
        <f t="array" ref="CS71">INDEX(CR:CR,MIN(IF(ISNUMBER(CR71:CR267),ROW(CR71:CR267),"")))</f>
        <v>6.125</v>
      </c>
      <c r="CT71" s="12">
        <f>IF('Données projet'!$A$140&gt;35,CT70+CS71-DB70,IF(A71&lt;'Données projet'!$A$140,$CQ$205^A71,IF(A71='Données projet'!$A$140,'Données projet'!$B$140,CT70+CS71-DB70)))</f>
        <v>166.00000000000011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5</v>
      </c>
      <c r="DB71" s="15">
        <f>IF(ISNA(VLOOKUP(A71,'Données projet'!$A$139:$I$159,4,0)),0,VLOOKUP(A71,'Données projet'!$A$139:$I$159,4,0))</f>
        <v>31</v>
      </c>
      <c r="DC71" s="16" t="e">
        <f>IF(ISNA(VLOOKUP(A71,'Données projet'!$A$139:$I$159,5,0)),0%,VLOOKUP(A71,'Données projet'!$A$139:$I$159,5,0)*VLOOKUP('Données projet'!$B$13,Paramètres!$A$1:$I$89,7,0))</f>
        <v>#N/A</v>
      </c>
      <c r="DD71" s="16" t="e">
        <f>IF(ISNA(VLOOKUP(A71,'Données projet'!$A$139:$I$159,6,0)),0%,VLOOKUP(A71,'Données projet'!$A$139:$I$159,6,0)*VLOOKUP('Données projet'!$B$13,Paramètres!$A$1:$I$89,7,0))</f>
        <v>#N/A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949.08861227039756</v>
      </c>
      <c r="S72" s="59">
        <f ca="1">AVERAGE(OFFSET($R$3,0,0,'Données projet'!$E$9+1,1))-AVERAGE(OFFSET($H$3,0,0,'Données projet'!$E$9+1,1))</f>
        <v>737.40414421611001</v>
      </c>
      <c r="T72" s="59">
        <f t="shared" si="88"/>
        <v>245.32893490531674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311.39999999999992</v>
      </c>
      <c r="AJ72" s="13">
        <f>AI72*VLOOKUP('Données projet'!$B$10,Paramètres!$A$1:$I$89,3,0)*VLOOKUP('Données projet'!$B$10,Paramètres!$A$1:$I$89,5,0)</f>
        <v>247.74983999999995</v>
      </c>
      <c r="AK72" s="13">
        <f t="shared" si="89"/>
        <v>60.103849700617872</v>
      </c>
      <c r="AL72" s="20">
        <f t="shared" si="58"/>
        <v>536.17850956190932</v>
      </c>
      <c r="AM72" s="59">
        <f t="shared" si="59"/>
        <v>802.10866991197588</v>
      </c>
      <c r="AN72" s="59">
        <f ca="1">AVERAGE(OFFSET($AM$3,0,0,'Données projet'!$E$10+1,1))-AVERAGE(OFFSET($H$3,0,0,'Données projet'!$E$10+1,1))</f>
        <v>377.28055430105911</v>
      </c>
      <c r="AO72" s="59">
        <f t="shared" si="90"/>
        <v>364.58250627635425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13.697316810530026</v>
      </c>
      <c r="AV72" s="21">
        <f>EXP(-LN(2)/25)*AV71+(1-EXP(-LN(2)/25))/(LN(2)/25)*Calculateur!AQ72*Calculateur!AS72*VLOOKUP('Données projet'!$B$10,Paramètres!$A$1:$I$89,3,0)*0.475*44/12</f>
        <v>14.464499137550442</v>
      </c>
      <c r="AW72" s="21">
        <f>EXP(-LN(2)/2)*AW71+(1-EXP(-LN(2)/2))/(LN(2)/2)*AQ72*AT72*VLOOKUP('Données projet'!$B$10,Paramètres!$A$1:$I$89,3,0)*0.475*44/12</f>
        <v>0.75585957030270567</v>
      </c>
      <c r="AX72" s="21">
        <f t="shared" si="60"/>
        <v>28.917675518383174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328.00000000000006</v>
      </c>
      <c r="BE72" s="13">
        <f>BD72*VLOOKUP('Données projet'!$B$11,Paramètres!$A$1:$I$89,3,0)*VLOOKUP('Données projet'!$B$11,Paramètres!$A$1:$I$89,5,0)</f>
        <v>255.84000000000006</v>
      </c>
      <c r="BF72" s="13">
        <f t="shared" si="91"/>
        <v>61.834803371075836</v>
      </c>
      <c r="BG72" s="20">
        <f t="shared" si="61"/>
        <v>553.28361587129041</v>
      </c>
      <c r="BH72" s="59">
        <f t="shared" si="62"/>
        <v>819.21377622135697</v>
      </c>
      <c r="BI72" s="59">
        <f ca="1">AVERAGE(OFFSET($BH$3,0,0,'Données projet'!$E$11+1,1))-AVERAGE(OFFSET($H$3,0,0,'Données projet'!$E$11+1,1))</f>
        <v>308.85018589589453</v>
      </c>
      <c r="BJ72" s="59">
        <f t="shared" si="92"/>
        <v>302.59481222418219</v>
      </c>
      <c r="BK72" s="15" t="str">
        <f>IF(ISNA(VLOOKUP(A72,'Données projet'!$A$87:$I$107,3,0)),0,VLOOKUP(A72,'Données projet'!$A$87:$I$107,3,0))</f>
        <v>CR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0.1075</v>
      </c>
      <c r="BN72" s="16">
        <f>IF(ISNA(VLOOKUP(A72,'Données projet'!$A$87:$I$107,6,0)),0%,VLOOKUP(A72,'Données projet'!$A$87:$I$107,6,0)*VLOOKUP('Données projet'!$B$11,Paramètres!$A$1:$I$89,7,0))</f>
        <v>0.1075</v>
      </c>
      <c r="BO72" s="16">
        <f>IF(ISNA(VLOOKUP(A72,'Données projet'!$A$87:$I$107,7,0)),0%,VLOOKUP(A72,'Données projet'!$A$87:$I$107,7,0))</f>
        <v>0.25</v>
      </c>
      <c r="BP72" s="21">
        <f>EXP(-LN(2)/35)*BP71+(1-EXP(-LN(2)/35))/(LN(2)/35)*BL72*BM72*VLOOKUP('Données projet'!$B$11,Paramètres!$A$1:$I$89,3,0)*0.475*44/12</f>
        <v>42.998580109239427</v>
      </c>
      <c r="BQ72" s="21">
        <f>EXP(-LN(2)/25)*BQ71+(1-EXP(-LN(2)/25))/(LN(2)/25)*Calculateur!BL72*Calculateur!BN72*VLOOKUP('Données projet'!$B$11,Paramètres!$A$1:$I$89,3,0)*0.475*44/12</f>
        <v>42.335181920059554</v>
      </c>
      <c r="BR72" s="21">
        <f>EXP(-LN(2)/2)*BR71+(1-EXP(-LN(2)/2))/(LN(2)/2)*BL72*BO72*VLOOKUP('Données projet'!$B$11,Paramètres!$A$1:$I$89,3,0)*0.475*44/12</f>
        <v>60.756021653283376</v>
      </c>
      <c r="BS72" s="22">
        <f t="shared" si="63"/>
        <v>146.08978368258235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328</v>
      </c>
      <c r="BW72" s="12">
        <f>VLOOKUP(A72,'Données projet'!$A$113:$I$133,9,0)</f>
        <v>8.6666666666666661</v>
      </c>
      <c r="BX72" s="12">
        <f t="array" ref="BX72">INDEX(BW:BW,MIN(IF(ISNUMBER(BW72:BW268),ROW(BW72:BW268),"")))</f>
        <v>8.6666666666666661</v>
      </c>
      <c r="BY72" s="12">
        <f>IF('Données projet'!$A$114&gt;35,BY71+BX72-CG71,IF(A72&lt;'Données projet'!$A$114,$BV$205^A72,IF(A72='Données projet'!$A$114,'Données projet'!$B$114,BY71+BX72-CG71)))</f>
        <v>328.00000000000006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 t="str">
        <f>IF(ISNA(VLOOKUP(A72,'Données projet'!$A$113:$I$133,3,0)),0,VLOOKUP(A72,'Données projet'!$A$113:$I$133,3,0))</f>
        <v>CR</v>
      </c>
      <c r="CG72" s="15">
        <f>IF(ISNA(VLOOKUP(A72,'Données projet'!$A$113:$I$133,4,0)),0,VLOOKUP(A72,'Données projet'!$A$113:$I$133,4,0))</f>
        <v>328</v>
      </c>
      <c r="CH72" s="16" t="e">
        <f>IF(ISNA(VLOOKUP(A72,'Données projet'!$A$113:$I$133,5,0)),0%,VLOOKUP(A72,'Données projet'!$A$113:$I$133,5,0)*VLOOKUP('Données projet'!$B$12,Paramètres!$A$1:$I$89,7,0))</f>
        <v>#N/A</v>
      </c>
      <c r="CI72" s="16" t="e">
        <f>IF(ISNA(VLOOKUP(A72,'Données projet'!$A$113:$I$133,6,0)),0%,VLOOKUP(A72,'Données projet'!$A$113:$I$133,6,0)*VLOOKUP('Données projet'!$B$12,Paramètres!$A$1:$I$89,7,0))</f>
        <v>#N/A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5.9</v>
      </c>
      <c r="CT72" s="12">
        <f>IF('Données projet'!$A$140&gt;35,CT71+CS72-DB71,IF(A72&lt;'Données projet'!$A$140,$CQ$205^A72,IF(A72='Données projet'!$A$140,'Données projet'!$B$140,CT71+CS72-DB71)))</f>
        <v>140.90000000000012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973.91760611307086</v>
      </c>
      <c r="S73" s="59">
        <f ca="1">AVERAGE(OFFSET($R$3,0,0,'Données projet'!$E$9+1,1))-AVERAGE(OFFSET($H$3,0,0,'Données projet'!$E$9+1,1))</f>
        <v>737.40414421611001</v>
      </c>
      <c r="T73" s="59">
        <f t="shared" si="88"/>
        <v>245.32893490531674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251.40959999999995</v>
      </c>
      <c r="AK73" s="13">
        <f t="shared" si="89"/>
        <v>60.887686632376123</v>
      </c>
      <c r="AL73" s="20">
        <f t="shared" si="58"/>
        <v>543.917774218055</v>
      </c>
      <c r="AM73" s="59">
        <f t="shared" si="59"/>
        <v>810.32331835506443</v>
      </c>
      <c r="AN73" s="59">
        <f ca="1">AVERAGE(OFFSET($AM$3,0,0,'Données projet'!$E$10+1,1))-AVERAGE(OFFSET($H$3,0,0,'Données projet'!$E$10+1,1))</f>
        <v>377.28055430105911</v>
      </c>
      <c r="AO73" s="59">
        <f t="shared" si="90"/>
        <v>364.58250627635425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13</v>
      </c>
      <c r="AR73" s="16">
        <f>IF(ISNA(VLOOKUP(A73,'Données projet'!$A$61:$I$81,5,0)),0%,VLOOKUP(A73,'Données projet'!$A$61:$I$81,5,0)*VLOOKUP('Données projet'!$B$10,Paramètres!$A$1:$I$89,7,0))</f>
        <v>0.13250000000000001</v>
      </c>
      <c r="AS73" s="16">
        <f>IF(ISNA(VLOOKUP(A73,'Données projet'!$A$61:$I$81,6,0)),0%,VLOOKUP(A73,'Données projet'!$A$61:$I$81,6,0)*VLOOKUP('Données projet'!$B$10,Paramètres!$A$1:$I$89,7,0))</f>
        <v>0.13250000000000001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14.94368060540377</v>
      </c>
      <c r="AV73" s="21">
        <f>EXP(-LN(2)/25)*AV72+(1-EXP(-LN(2)/25))/(LN(2)/25)*Calculateur!AQ73*Calculateur!AS73*VLOOKUP('Données projet'!$B$10,Paramètres!$A$1:$I$89,3,0)*0.475*44/12</f>
        <v>15.57796149690104</v>
      </c>
      <c r="AW73" s="21">
        <f>EXP(-LN(2)/2)*AW72+(1-EXP(-LN(2)/2))/(LN(2)/2)*AQ73*AT73*VLOOKUP('Données projet'!$B$10,Paramètres!$A$1:$I$89,3,0)*0.475*44/12</f>
        <v>2.9741509708809453</v>
      </c>
      <c r="AX73" s="21">
        <f t="shared" si="60"/>
        <v>33.495793073185752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4.4337866711430253E-14</v>
      </c>
      <c r="BF73" s="13">
        <f t="shared" si="91"/>
        <v>7.3222115536967035E-13</v>
      </c>
      <c r="BG73" s="20">
        <f t="shared" si="61"/>
        <v>1.3525069634579169E-12</v>
      </c>
      <c r="BH73" s="59">
        <f t="shared" si="62"/>
        <v>266.40554413701085</v>
      </c>
      <c r="BI73" s="59">
        <f ca="1">AVERAGE(OFFSET($BH$3,0,0,'Données projet'!$E$11+1,1))-AVERAGE(OFFSET($H$3,0,0,'Données projet'!$E$11+1,1))</f>
        <v>308.85018589589453</v>
      </c>
      <c r="BJ73" s="59">
        <f t="shared" si="92"/>
        <v>302.59481222418219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42.155404179841454</v>
      </c>
      <c r="BQ73" s="21">
        <f>EXP(-LN(2)/25)*BQ72+(1-EXP(-LN(2)/25))/(LN(2)/25)*Calculateur!BL73*Calculateur!BN73*VLOOKUP('Données projet'!$B$11,Paramètres!$A$1:$I$89,3,0)*0.475*44/12</f>
        <v>41.177524144145067</v>
      </c>
      <c r="BR73" s="21">
        <f>EXP(-LN(2)/2)*BR72+(1-EXP(-LN(2)/2))/(LN(2)/2)*BL73*BO73*VLOOKUP('Données projet'!$B$11,Paramètres!$A$1:$I$89,3,0)*0.475*44/12</f>
        <v>42.960994908953396</v>
      </c>
      <c r="BS73" s="22">
        <f t="shared" si="63"/>
        <v>126.29392323293992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5.9</v>
      </c>
      <c r="CT73" s="12">
        <f>IF('Données projet'!$A$140&gt;35,CT72+CS73-DB72,IF(A73&lt;'Données projet'!$A$140,$CQ$205^A73,IF(A73='Données projet'!$A$140,'Données projet'!$B$140,CT72+CS73-DB72)))</f>
        <v>146.80000000000013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998.72122083620616</v>
      </c>
      <c r="S74" s="59">
        <f ca="1">AVERAGE(OFFSET($R$3,0,0,'Données projet'!$E$9+1,1))-AVERAGE(OFFSET($H$3,0,0,'Données projet'!$E$9+1,1))</f>
        <v>737.40414421611001</v>
      </c>
      <c r="T74" s="59">
        <f t="shared" si="88"/>
        <v>245.32893490531674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4.2</v>
      </c>
      <c r="AI74" s="13">
        <f>IF('Données projet'!$A$62&gt;35,AI73+AH74-AQ73,IF(A74&lt;'Données projet'!$A$62,$AF$205^A74,IF(A74='Données projet'!$A$62,'Données projet'!$B$62,AI73+AH74-AQ73)))</f>
        <v>307.19999999999993</v>
      </c>
      <c r="AJ74" s="13">
        <f>AI74*VLOOKUP('Données projet'!$B$10,Paramètres!$A$1:$I$89,3,0)*VLOOKUP('Données projet'!$B$10,Paramètres!$A$1:$I$89,5,0)</f>
        <v>244.40831999999995</v>
      </c>
      <c r="AK74" s="13">
        <f t="shared" si="89"/>
        <v>59.38699493610541</v>
      </c>
      <c r="AL74" s="20">
        <f t="shared" si="58"/>
        <v>529.11017351371675</v>
      </c>
      <c r="AM74" s="59">
        <f t="shared" si="59"/>
        <v>795.98285459176464</v>
      </c>
      <c r="AN74" s="59">
        <f ca="1">AVERAGE(OFFSET($AM$3,0,0,'Données projet'!$E$10+1,1))-AVERAGE(OFFSET($H$3,0,0,'Données projet'!$E$10+1,1))</f>
        <v>377.28055430105911</v>
      </c>
      <c r="AO74" s="59">
        <f t="shared" si="90"/>
        <v>364.58250627635425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14.650644143476965</v>
      </c>
      <c r="AV74" s="21">
        <f>EXP(-LN(2)/25)*AV73+(1-EXP(-LN(2)/25))/(LN(2)/25)*Calculateur!AQ74*Calculateur!AS74*VLOOKUP('Données projet'!$B$10,Paramètres!$A$1:$I$89,3,0)*0.475*44/12</f>
        <v>15.151981320558889</v>
      </c>
      <c r="AW74" s="21">
        <f>EXP(-LN(2)/2)*AW73+(1-EXP(-LN(2)/2))/(LN(2)/2)*AQ74*AT74*VLOOKUP('Données projet'!$B$10,Paramètres!$A$1:$I$89,3,0)*0.475*44/12</f>
        <v>2.1030423197824706</v>
      </c>
      <c r="AX74" s="21">
        <f t="shared" si="60"/>
        <v>31.905667783818327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4.4337866711430253E-14</v>
      </c>
      <c r="BF74" s="13">
        <f t="shared" si="91"/>
        <v>7.3222115536967035E-13</v>
      </c>
      <c r="BG74" s="20">
        <f t="shared" si="61"/>
        <v>1.3525069634579169E-12</v>
      </c>
      <c r="BH74" s="59">
        <f t="shared" si="62"/>
        <v>266.87268107804931</v>
      </c>
      <c r="BI74" s="59">
        <f ca="1">AVERAGE(OFFSET($BH$3,0,0,'Données projet'!$E$11+1,1))-AVERAGE(OFFSET($H$3,0,0,'Données projet'!$E$11+1,1))</f>
        <v>308.85018589589453</v>
      </c>
      <c r="BJ74" s="59">
        <f t="shared" si="92"/>
        <v>302.59481222418219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41.328762416132442</v>
      </c>
      <c r="BQ74" s="21">
        <f>EXP(-LN(2)/25)*BQ73+(1-EXP(-LN(2)/25))/(LN(2)/25)*Calculateur!BL74*Calculateur!BN74*VLOOKUP('Données projet'!$B$11,Paramètres!$A$1:$I$89,3,0)*0.475*44/12</f>
        <v>40.051522580991538</v>
      </c>
      <c r="BR74" s="21">
        <f>EXP(-LN(2)/2)*BR73+(1-EXP(-LN(2)/2))/(LN(2)/2)*BL74*BO74*VLOOKUP('Données projet'!$B$11,Paramètres!$A$1:$I$89,3,0)*0.475*44/12</f>
        <v>30.378010826641692</v>
      </c>
      <c r="BS74" s="22">
        <f t="shared" si="63"/>
        <v>111.75829582376568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5.9</v>
      </c>
      <c r="CT74" s="12">
        <f>IF('Données projet'!$A$140&gt;35,CT73+CS74-DB73,IF(A74&lt;'Données projet'!$A$140,$CQ$205^A74,IF(A74='Données projet'!$A$140,'Données projet'!$B$140,CT73+CS74-DB73)))</f>
        <v>152.70000000000013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1023.5002486155922</v>
      </c>
      <c r="S75" s="59">
        <f ca="1">AVERAGE(OFFSET($R$3,0,0,'Données projet'!$E$9+1,1))-AVERAGE(OFFSET($H$3,0,0,'Données projet'!$E$9+1,1))</f>
        <v>737.40414421611001</v>
      </c>
      <c r="T75" s="59">
        <f t="shared" si="88"/>
        <v>245.32893490531674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4.2</v>
      </c>
      <c r="AI75" s="13">
        <f>IF('Données projet'!$A$62&gt;35,AI74+AH75-AQ74,IF(A75&lt;'Données projet'!$A$62,$AF$205^A75,IF(A75='Données projet'!$A$62,'Données projet'!$B$62,AI74+AH75-AQ74)))</f>
        <v>311.39999999999992</v>
      </c>
      <c r="AJ75" s="13">
        <f>AI75*VLOOKUP('Données projet'!$B$10,Paramètres!$A$1:$I$89,3,0)*VLOOKUP('Données projet'!$B$10,Paramètres!$A$1:$I$89,5,0)</f>
        <v>247.74983999999995</v>
      </c>
      <c r="AK75" s="13">
        <f t="shared" si="89"/>
        <v>60.103849700617872</v>
      </c>
      <c r="AL75" s="20">
        <f t="shared" si="58"/>
        <v>536.17850956190932</v>
      </c>
      <c r="AM75" s="59">
        <f t="shared" si="59"/>
        <v>803.51022379943038</v>
      </c>
      <c r="AN75" s="59">
        <f ca="1">AVERAGE(OFFSET($AM$3,0,0,'Données projet'!$E$10+1,1))-AVERAGE(OFFSET($H$3,0,0,'Données projet'!$E$10+1,1))</f>
        <v>377.28055430105911</v>
      </c>
      <c r="AO75" s="59">
        <f t="shared" si="90"/>
        <v>364.58250627635425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14.363353947833952</v>
      </c>
      <c r="AV75" s="21">
        <f>EXP(-LN(2)/25)*AV74+(1-EXP(-LN(2)/25))/(LN(2)/25)*Calculateur!AQ75*Calculateur!AS75*VLOOKUP('Données projet'!$B$10,Paramètres!$A$1:$I$89,3,0)*0.475*44/12</f>
        <v>14.737649594540139</v>
      </c>
      <c r="AW75" s="21">
        <f>EXP(-LN(2)/2)*AW74+(1-EXP(-LN(2)/2))/(LN(2)/2)*AQ75*AT75*VLOOKUP('Données projet'!$B$10,Paramètres!$A$1:$I$89,3,0)*0.475*44/12</f>
        <v>1.4870754854404729</v>
      </c>
      <c r="AX75" s="21">
        <f t="shared" si="60"/>
        <v>30.588079027814565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4.4337866711430253E-14</v>
      </c>
      <c r="BF75" s="13">
        <f t="shared" si="91"/>
        <v>7.3222115536967035E-13</v>
      </c>
      <c r="BG75" s="20">
        <f t="shared" si="61"/>
        <v>1.3525069634579169E-12</v>
      </c>
      <c r="BH75" s="59">
        <f t="shared" si="62"/>
        <v>267.33171423752248</v>
      </c>
      <c r="BI75" s="59">
        <f ca="1">AVERAGE(OFFSET($BH$3,0,0,'Données projet'!$E$11+1,1))-AVERAGE(OFFSET($H$3,0,0,'Données projet'!$E$11+1,1))</f>
        <v>308.85018589589453</v>
      </c>
      <c r="BJ75" s="59">
        <f t="shared" si="92"/>
        <v>302.59481222418219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40.51833059320807</v>
      </c>
      <c r="BQ75" s="21">
        <f>EXP(-LN(2)/25)*BQ74+(1-EXP(-LN(2)/25))/(LN(2)/25)*Calculateur!BL75*Calculateur!BN75*VLOOKUP('Données projet'!$B$11,Paramètres!$A$1:$I$89,3,0)*0.475*44/12</f>
        <v>38.956311589796293</v>
      </c>
      <c r="BR75" s="21">
        <f>EXP(-LN(2)/2)*BR74+(1-EXP(-LN(2)/2))/(LN(2)/2)*BL75*BO75*VLOOKUP('Données projet'!$B$11,Paramètres!$A$1:$I$89,3,0)*0.475*44/12</f>
        <v>21.480497454476701</v>
      </c>
      <c r="BS75" s="22">
        <f t="shared" si="63"/>
        <v>100.95513963748107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5.9</v>
      </c>
      <c r="CT75" s="12">
        <f>IF('Données projet'!$A$140&gt;35,CT74+CS75-DB74,IF(A75&lt;'Données projet'!$A$140,$CQ$205^A75,IF(A75='Données projet'!$A$140,'Données projet'!$B$140,CT74+CS75-DB74)))</f>
        <v>158.60000000000014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1048.2554340447623</v>
      </c>
      <c r="S76" s="59">
        <f ca="1">AVERAGE(OFFSET($R$3,0,0,'Données projet'!$E$9+1,1))-AVERAGE(OFFSET($H$3,0,0,'Données projet'!$E$9+1,1))</f>
        <v>737.40414421611001</v>
      </c>
      <c r="T76" s="59">
        <f t="shared" si="88"/>
        <v>245.32893490531674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4.2</v>
      </c>
      <c r="AI76" s="13">
        <f>IF('Données projet'!$A$62&gt;35,AI75+AH76-AQ75,IF(A76&lt;'Données projet'!$A$62,$AF$205^A76,IF(A76='Données projet'!$A$62,'Données projet'!$B$62,AI75+AH76-AQ75)))</f>
        <v>315.59999999999991</v>
      </c>
      <c r="AJ76" s="13">
        <f>AI76*VLOOKUP('Données projet'!$B$10,Paramètres!$A$1:$I$89,3,0)*VLOOKUP('Données projet'!$B$10,Paramètres!$A$1:$I$89,5,0)</f>
        <v>251.09135999999995</v>
      </c>
      <c r="AK76" s="13">
        <f t="shared" si="89"/>
        <v>60.81957989149403</v>
      </c>
      <c r="AL76" s="20">
        <f t="shared" si="58"/>
        <v>543.24488697768527</v>
      </c>
      <c r="AM76" s="59">
        <f t="shared" si="59"/>
        <v>811.02767117560711</v>
      </c>
      <c r="AN76" s="59">
        <f ca="1">AVERAGE(OFFSET($AM$3,0,0,'Données projet'!$E$10+1,1))-AVERAGE(OFFSET($H$3,0,0,'Données projet'!$E$10+1,1))</f>
        <v>377.28055430105911</v>
      </c>
      <c r="AO76" s="59">
        <f t="shared" si="90"/>
        <v>364.58250627635425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14.081697337697781</v>
      </c>
      <c r="AV76" s="21">
        <f>EXP(-LN(2)/25)*AV75+(1-EXP(-LN(2)/25))/(LN(2)/25)*Calculateur!AQ76*Calculateur!AS76*VLOOKUP('Données projet'!$B$10,Paramètres!$A$1:$I$89,3,0)*0.475*44/12</f>
        <v>14.33464779135813</v>
      </c>
      <c r="AW76" s="21">
        <f>EXP(-LN(2)/2)*AW75+(1-EXP(-LN(2)/2))/(LN(2)/2)*AQ76*AT76*VLOOKUP('Données projet'!$B$10,Paramètres!$A$1:$I$89,3,0)*0.475*44/12</f>
        <v>1.0515211598912355</v>
      </c>
      <c r="AX76" s="21">
        <f t="shared" si="60"/>
        <v>29.46786628894715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4.4337866711430253E-14</v>
      </c>
      <c r="BF76" s="13">
        <f t="shared" si="91"/>
        <v>7.3222115536967035E-13</v>
      </c>
      <c r="BG76" s="20">
        <f t="shared" si="61"/>
        <v>1.3525069634579169E-12</v>
      </c>
      <c r="BH76" s="59">
        <f t="shared" si="62"/>
        <v>267.78278419792315</v>
      </c>
      <c r="BI76" s="59">
        <f ca="1">AVERAGE(OFFSET($BH$3,0,0,'Données projet'!$E$11+1,1))-AVERAGE(OFFSET($H$3,0,0,'Données projet'!$E$11+1,1))</f>
        <v>308.85018589589453</v>
      </c>
      <c r="BJ76" s="59">
        <f t="shared" si="92"/>
        <v>302.59481222418219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39.723790844016641</v>
      </c>
      <c r="BQ76" s="21">
        <f>EXP(-LN(2)/25)*BQ75+(1-EXP(-LN(2)/25))/(LN(2)/25)*Calculateur!BL76*Calculateur!BN76*VLOOKUP('Données projet'!$B$11,Paramètres!$A$1:$I$89,3,0)*0.475*44/12</f>
        <v>37.891049200749926</v>
      </c>
      <c r="BR76" s="21">
        <f>EXP(-LN(2)/2)*BR75+(1-EXP(-LN(2)/2))/(LN(2)/2)*BL76*BO76*VLOOKUP('Données projet'!$B$11,Paramètres!$A$1:$I$89,3,0)*0.475*44/12</f>
        <v>15.189005413320849</v>
      </c>
      <c r="BS76" s="22">
        <f t="shared" si="63"/>
        <v>92.803845458087409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5.9</v>
      </c>
      <c r="CT76" s="12">
        <f>IF('Données projet'!$A$140&gt;35,CT75+CS76-DB75,IF(A76&lt;'Données projet'!$A$140,$CQ$205^A76,IF(A76='Données projet'!$A$140,'Données projet'!$B$140,CT75+CS76-DB75)))</f>
        <v>164.50000000000014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1072.9874786462992</v>
      </c>
      <c r="S77" s="59">
        <f ca="1">AVERAGE(OFFSET($R$3,0,0,'Données projet'!$E$9+1,1))-AVERAGE(OFFSET($H$3,0,0,'Données projet'!$E$9+1,1))</f>
        <v>737.40414421611001</v>
      </c>
      <c r="T77" s="59">
        <f t="shared" si="88"/>
        <v>245.32893490531674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4.2</v>
      </c>
      <c r="AI77" s="13">
        <f>IF('Données projet'!$A$62&gt;35,AI76+AH77-AQ76,IF(A77&lt;'Données projet'!$A$62,$AF$205^A77,IF(A77='Données projet'!$A$62,'Données projet'!$B$62,AI76+AH77-AQ76)))</f>
        <v>319.7999999999999</v>
      </c>
      <c r="AJ77" s="13">
        <f>AI77*VLOOKUP('Données projet'!$B$10,Paramètres!$A$1:$I$89,3,0)*VLOOKUP('Données projet'!$B$10,Paramètres!$A$1:$I$89,5,0)</f>
        <v>254.43287999999995</v>
      </c>
      <c r="AK77" s="13">
        <f t="shared" si="89"/>
        <v>61.534202204620392</v>
      </c>
      <c r="AL77" s="20">
        <f t="shared" si="58"/>
        <v>550.30933483971376</v>
      </c>
      <c r="AM77" s="59">
        <f t="shared" si="59"/>
        <v>818.53536394266462</v>
      </c>
      <c r="AN77" s="59">
        <f ca="1">AVERAGE(OFFSET($AM$3,0,0,'Données projet'!$E$10+1,1))-AVERAGE(OFFSET($H$3,0,0,'Données projet'!$E$10+1,1))</f>
        <v>377.28055430105911</v>
      </c>
      <c r="AO77" s="59">
        <f t="shared" si="90"/>
        <v>364.58250627635425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13.805563841892811</v>
      </c>
      <c r="AV77" s="21">
        <f>EXP(-LN(2)/25)*AV76+(1-EXP(-LN(2)/25))/(LN(2)/25)*Calculateur!AQ77*Calculateur!AS77*VLOOKUP('Données projet'!$B$10,Paramètres!$A$1:$I$89,3,0)*0.475*44/12</f>
        <v>13.942666093677076</v>
      </c>
      <c r="AW77" s="21">
        <f>EXP(-LN(2)/2)*AW76+(1-EXP(-LN(2)/2))/(LN(2)/2)*AQ77*AT77*VLOOKUP('Données projet'!$B$10,Paramètres!$A$1:$I$89,3,0)*0.475*44/12</f>
        <v>0.74353774272023654</v>
      </c>
      <c r="AX77" s="21">
        <f t="shared" si="60"/>
        <v>28.491767678290124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4.4337866711430253E-14</v>
      </c>
      <c r="BF77" s="13">
        <f t="shared" si="91"/>
        <v>7.3222115536967035E-13</v>
      </c>
      <c r="BG77" s="20">
        <f t="shared" si="61"/>
        <v>1.3525069634579169E-12</v>
      </c>
      <c r="BH77" s="59">
        <f t="shared" si="62"/>
        <v>268.22602910295223</v>
      </c>
      <c r="BI77" s="59">
        <f ca="1">AVERAGE(OFFSET($BH$3,0,0,'Données projet'!$E$11+1,1))-AVERAGE(OFFSET($H$3,0,0,'Données projet'!$E$11+1,1))</f>
        <v>308.85018589589453</v>
      </c>
      <c r="BJ77" s="59">
        <f t="shared" si="92"/>
        <v>302.59481222418219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38.944831534685463</v>
      </c>
      <c r="BQ77" s="21">
        <f>EXP(-LN(2)/25)*BQ76+(1-EXP(-LN(2)/25))/(LN(2)/25)*Calculateur!BL77*Calculateur!BN77*VLOOKUP('Données projet'!$B$11,Paramètres!$A$1:$I$89,3,0)*0.475*44/12</f>
        <v>36.854916467751742</v>
      </c>
      <c r="BR77" s="21">
        <f>EXP(-LN(2)/2)*BR76+(1-EXP(-LN(2)/2))/(LN(2)/2)*BL77*BO77*VLOOKUP('Données projet'!$B$11,Paramètres!$A$1:$I$89,3,0)*0.475*44/12</f>
        <v>10.740248727238352</v>
      </c>
      <c r="BS77" s="22">
        <f t="shared" si="63"/>
        <v>86.539996729675565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5.9</v>
      </c>
      <c r="CT77" s="12">
        <f>IF('Données projet'!$A$140&gt;35,CT76+CS77-DB76,IF(A77&lt;'Données projet'!$A$140,$CQ$205^A77,IF(A77='Données projet'!$A$140,'Données projet'!$B$140,CT76+CS77-DB76)))</f>
        <v>170.40000000000015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953.28136805356326</v>
      </c>
      <c r="S78" s="59">
        <f ca="1">AVERAGE(OFFSET($R$3,0,0,'Données projet'!$E$9+1,1))-AVERAGE(OFFSET($H$3,0,0,'Données projet'!$E$9+1,1))</f>
        <v>737.40414421611001</v>
      </c>
      <c r="T78" s="59">
        <f t="shared" si="88"/>
        <v>245.32893490531674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324</v>
      </c>
      <c r="AG78" s="12">
        <f>VLOOKUP(A78,'Données projet'!$A$61:$I$81,9,0)</f>
        <v>4.2</v>
      </c>
      <c r="AH78" s="12">
        <f t="array" ref="AH78">INDEX(AG:AG,MIN(IF(ISNUMBER(AG78:AG274),ROW(AG78:AG274),"")))</f>
        <v>4.2</v>
      </c>
      <c r="AI78" s="13">
        <f>IF('Données projet'!$A$62&gt;35,AI77+AH78-AQ77,IF(A78&lt;'Données projet'!$A$62,$AF$205^A78,IF(A78='Données projet'!$A$62,'Données projet'!$B$62,AI77+AH78-AQ77)))</f>
        <v>323.99999999999989</v>
      </c>
      <c r="AJ78" s="13">
        <f>AI78*VLOOKUP('Données projet'!$B$10,Paramètres!$A$1:$I$89,3,0)*VLOOKUP('Données projet'!$B$10,Paramètres!$A$1:$I$89,5,0)</f>
        <v>257.77439999999996</v>
      </c>
      <c r="AK78" s="13">
        <f t="shared" si="89"/>
        <v>62.247732872134293</v>
      </c>
      <c r="AL78" s="20">
        <f t="shared" si="58"/>
        <v>557.37188141896718</v>
      </c>
      <c r="AM78" s="59">
        <f t="shared" si="59"/>
        <v>826.03346611879192</v>
      </c>
      <c r="AN78" s="59">
        <f ca="1">AVERAGE(OFFSET($AM$3,0,0,'Données projet'!$E$10+1,1))-AVERAGE(OFFSET($H$3,0,0,'Données projet'!$E$10+1,1))</f>
        <v>377.28055430105911</v>
      </c>
      <c r="AO78" s="59">
        <f t="shared" si="90"/>
        <v>364.58250627635425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0.13250000000000001</v>
      </c>
      <c r="AS78" s="16">
        <f>IF(ISNA(VLOOKUP(A78,'Données projet'!$A$61:$I$81,6,0)),0%,VLOOKUP(A78,'Données projet'!$A$61:$I$81,6,0)*VLOOKUP('Données projet'!$B$10,Paramètres!$A$1:$I$89,7,0))</f>
        <v>0.13250000000000001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14.933269607506475</v>
      </c>
      <c r="AV78" s="21">
        <f>EXP(-LN(2)/25)*AV77+(1-EXP(-LN(2)/25))/(LN(2)/25)*Calculateur!AQ78*Calculateur!AS78*VLOOKUP('Données projet'!$B$10,Paramètres!$A$1:$I$89,3,0)*0.475*44/12</f>
        <v>14.954321478214256</v>
      </c>
      <c r="AW78" s="21">
        <f>EXP(-LN(2)/2)*AW77+(1-EXP(-LN(2)/2))/(LN(2)/2)*AQ78*AT78*VLOOKUP('Données projet'!$B$10,Paramètres!$A$1:$I$89,3,0)*0.475*44/12</f>
        <v>2.7777706197257581</v>
      </c>
      <c r="AX78" s="21">
        <f t="shared" si="60"/>
        <v>32.665361705446486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4.4337866711430253E-14</v>
      </c>
      <c r="BF78" s="13">
        <f t="shared" si="91"/>
        <v>7.3222115536967035E-13</v>
      </c>
      <c r="BG78" s="20">
        <f t="shared" si="61"/>
        <v>1.3525069634579169E-12</v>
      </c>
      <c r="BH78" s="59">
        <f t="shared" si="62"/>
        <v>268.66158469982616</v>
      </c>
      <c r="BI78" s="59">
        <f ca="1">AVERAGE(OFFSET($BH$3,0,0,'Données projet'!$E$11+1,1))-AVERAGE(OFFSET($H$3,0,0,'Données projet'!$E$11+1,1))</f>
        <v>308.85018589589453</v>
      </c>
      <c r="BJ78" s="59">
        <f t="shared" si="92"/>
        <v>302.59481222418219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38.181147142292005</v>
      </c>
      <c r="BQ78" s="21">
        <f>EXP(-LN(2)/25)*BQ77+(1-EXP(-LN(2)/25))/(LN(2)/25)*Calculateur!BL78*Calculateur!BN78*VLOOKUP('Données projet'!$B$11,Paramètres!$A$1:$I$89,3,0)*0.475*44/12</f>
        <v>35.847116838825244</v>
      </c>
      <c r="BR78" s="21">
        <f>EXP(-LN(2)/2)*BR77+(1-EXP(-LN(2)/2))/(LN(2)/2)*BL78*BO78*VLOOKUP('Données projet'!$B$11,Paramètres!$A$1:$I$89,3,0)*0.475*44/12</f>
        <v>7.5945027066604256</v>
      </c>
      <c r="BS78" s="22">
        <f t="shared" si="63"/>
        <v>81.62276668777767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5.9</v>
      </c>
      <c r="CT78" s="12">
        <f>IF('Données projet'!$A$140&gt;35,CT77+CS78-DB77,IF(A78&lt;'Données projet'!$A$140,$CQ$205^A78,IF(A78='Données projet'!$A$140,'Données projet'!$B$140,CT77+CS78-DB77)))</f>
        <v>176.30000000000015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976.70629420533442</v>
      </c>
      <c r="S79" s="59">
        <f ca="1">AVERAGE(OFFSET($R$3,0,0,'Données projet'!$E$9+1,1))-AVERAGE(OFFSET($H$3,0,0,'Données projet'!$E$9+1,1))</f>
        <v>737.40414421611001</v>
      </c>
      <c r="T79" s="59">
        <f t="shared" si="88"/>
        <v>245.32893490531674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315.59999999999991</v>
      </c>
      <c r="AJ79" s="13">
        <f>AI79*VLOOKUP('Données projet'!$B$10,Paramètres!$A$1:$I$89,3,0)*VLOOKUP('Données projet'!$B$10,Paramètres!$A$1:$I$89,5,0)</f>
        <v>251.09135999999995</v>
      </c>
      <c r="AK79" s="13">
        <f t="shared" si="89"/>
        <v>60.81957989149403</v>
      </c>
      <c r="AL79" s="20">
        <f t="shared" si="58"/>
        <v>543.24488697768527</v>
      </c>
      <c r="AM79" s="59">
        <f t="shared" si="59"/>
        <v>812.33447135853476</v>
      </c>
      <c r="AN79" s="59">
        <f ca="1">AVERAGE(OFFSET($AM$3,0,0,'Données projet'!$E$10+1,1))-AVERAGE(OFFSET($H$3,0,0,'Données projet'!$E$10+1,1))</f>
        <v>377.28055430105911</v>
      </c>
      <c r="AO79" s="59">
        <f t="shared" si="90"/>
        <v>364.58250627635425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14.640437298898354</v>
      </c>
      <c r="AV79" s="21">
        <f>EXP(-LN(2)/25)*AV78+(1-EXP(-LN(2)/25))/(LN(2)/25)*Calculateur!AQ79*Calculateur!AS79*VLOOKUP('Données projet'!$B$10,Paramètres!$A$1:$I$89,3,0)*0.475*44/12</f>
        <v>14.545394770978898</v>
      </c>
      <c r="AW79" s="21">
        <f>EXP(-LN(2)/2)*AW78+(1-EXP(-LN(2)/2))/(LN(2)/2)*AQ79*AT79*VLOOKUP('Données projet'!$B$10,Paramètres!$A$1:$I$89,3,0)*0.475*44/12</f>
        <v>1.9641804417888422</v>
      </c>
      <c r="AX79" s="21">
        <f t="shared" si="60"/>
        <v>31.150012511666091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4.4337866711430253E-14</v>
      </c>
      <c r="BF79" s="13">
        <f t="shared" si="91"/>
        <v>7.3222115536967035E-13</v>
      </c>
      <c r="BG79" s="20">
        <f t="shared" si="61"/>
        <v>1.3525069634579169E-12</v>
      </c>
      <c r="BH79" s="59">
        <f t="shared" si="62"/>
        <v>269.08958438085079</v>
      </c>
      <c r="BI79" s="59">
        <f ca="1">AVERAGE(OFFSET($BH$3,0,0,'Données projet'!$E$11+1,1))-AVERAGE(OFFSET($H$3,0,0,'Données projet'!$E$11+1,1))</f>
        <v>308.85018589589453</v>
      </c>
      <c r="BJ79" s="59">
        <f t="shared" si="92"/>
        <v>302.59481222418219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37.432438135031894</v>
      </c>
      <c r="BQ79" s="21">
        <f>EXP(-LN(2)/25)*BQ78+(1-EXP(-LN(2)/25))/(LN(2)/25)*Calculateur!BL79*Calculateur!BN79*VLOOKUP('Données projet'!$B$11,Paramètres!$A$1:$I$89,3,0)*0.475*44/12</f>
        <v>34.866875543749622</v>
      </c>
      <c r="BR79" s="21">
        <f>EXP(-LN(2)/2)*BR78+(1-EXP(-LN(2)/2))/(LN(2)/2)*BL79*BO79*VLOOKUP('Données projet'!$B$11,Paramètres!$A$1:$I$89,3,0)*0.475*44/12</f>
        <v>5.3701243636191771</v>
      </c>
      <c r="BS79" s="22">
        <f t="shared" si="63"/>
        <v>77.669438042400699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5.9</v>
      </c>
      <c r="CT79" s="12">
        <f>IF('Données projet'!$A$140&gt;35,CT78+CS79-DB78,IF(A79&lt;'Données projet'!$A$140,$CQ$205^A79,IF(A79='Données projet'!$A$140,'Données projet'!$B$140,CT78+CS79-DB78)))</f>
        <v>182.20000000000016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1000.1085211533309</v>
      </c>
      <c r="S80" s="59">
        <f ca="1">AVERAGE(OFFSET($R$3,0,0,'Données projet'!$E$9+1,1))-AVERAGE(OFFSET($H$3,0,0,'Données projet'!$E$9+1,1))</f>
        <v>737.40414421611001</v>
      </c>
      <c r="T80" s="59">
        <f t="shared" si="88"/>
        <v>245.32893490531674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319.19999999999993</v>
      </c>
      <c r="AJ80" s="13">
        <f>AI80*VLOOKUP('Données projet'!$B$10,Paramètres!$A$1:$I$89,3,0)*VLOOKUP('Données projet'!$B$10,Paramètres!$A$1:$I$89,5,0)</f>
        <v>253.95551999999998</v>
      </c>
      <c r="AK80" s="13">
        <f t="shared" si="89"/>
        <v>61.432180511879253</v>
      </c>
      <c r="AL80" s="20">
        <f t="shared" si="58"/>
        <v>549.30024505818972</v>
      </c>
      <c r="AM80" s="59">
        <f t="shared" si="59"/>
        <v>818.81040428246206</v>
      </c>
      <c r="AN80" s="59">
        <f ca="1">AVERAGE(OFFSET($AM$3,0,0,'Données projet'!$E$10+1,1))-AVERAGE(OFFSET($H$3,0,0,'Données projet'!$E$10+1,1))</f>
        <v>377.28055430105911</v>
      </c>
      <c r="AO80" s="59">
        <f t="shared" si="90"/>
        <v>364.58250627635425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14.353347253251966</v>
      </c>
      <c r="AV80" s="21">
        <f>EXP(-LN(2)/25)*AV79+(1-EXP(-LN(2)/25))/(LN(2)/25)*Calculateur!AQ80*Calculateur!AS80*VLOOKUP('Données projet'!$B$10,Paramètres!$A$1:$I$89,3,0)*0.475*44/12</f>
        <v>14.147650186057414</v>
      </c>
      <c r="AW80" s="21">
        <f>EXP(-LN(2)/2)*AW79+(1-EXP(-LN(2)/2))/(LN(2)/2)*AQ80*AT80*VLOOKUP('Données projet'!$B$10,Paramètres!$A$1:$I$89,3,0)*0.475*44/12</f>
        <v>1.3888853098628793</v>
      </c>
      <c r="AX80" s="21">
        <f t="shared" si="60"/>
        <v>29.889882749172259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4.4337866711430253E-14</v>
      </c>
      <c r="BF80" s="13">
        <f t="shared" si="91"/>
        <v>7.3222115536967035E-13</v>
      </c>
      <c r="BG80" s="20">
        <f t="shared" si="61"/>
        <v>1.3525069634579169E-12</v>
      </c>
      <c r="BH80" s="59">
        <f t="shared" si="62"/>
        <v>269.51015922427365</v>
      </c>
      <c r="BI80" s="59">
        <f ca="1">AVERAGE(OFFSET($BH$3,0,0,'Données projet'!$E$11+1,1))-AVERAGE(OFFSET($H$3,0,0,'Données projet'!$E$11+1,1))</f>
        <v>308.85018589589453</v>
      </c>
      <c r="BJ80" s="59">
        <f t="shared" si="92"/>
        <v>302.59481222418219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36.698410854736757</v>
      </c>
      <c r="BQ80" s="21">
        <f>EXP(-LN(2)/25)*BQ79+(1-EXP(-LN(2)/25))/(LN(2)/25)*Calculateur!BL80*Calculateur!BN80*VLOOKUP('Données projet'!$B$11,Paramètres!$A$1:$I$89,3,0)*0.475*44/12</f>
        <v>33.91343899843649</v>
      </c>
      <c r="BR80" s="21">
        <f>EXP(-LN(2)/2)*BR79+(1-EXP(-LN(2)/2))/(LN(2)/2)*BL80*BO80*VLOOKUP('Données projet'!$B$11,Paramètres!$A$1:$I$89,3,0)*0.475*44/12</f>
        <v>3.7972513533302137</v>
      </c>
      <c r="BS80" s="22">
        <f t="shared" si="63"/>
        <v>74.409101206503465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5.9</v>
      </c>
      <c r="CT80" s="12">
        <f>IF('Données projet'!$A$140&gt;35,CT79+CS80-DB79,IF(A80&lt;'Données projet'!$A$140,$CQ$205^A80,IF(A80='Données projet'!$A$140,'Données projet'!$B$140,CT79+CS80-DB79)))</f>
        <v>188.10000000000016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1023.4887251861309</v>
      </c>
      <c r="S81" s="59">
        <f ca="1">AVERAGE(OFFSET($R$3,0,0,'Données projet'!$E$9+1,1))-AVERAGE(OFFSET($H$3,0,0,'Données projet'!$E$9+1,1))</f>
        <v>737.40414421611001</v>
      </c>
      <c r="T81" s="59">
        <f t="shared" si="88"/>
        <v>245.32893490531674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322.79999999999995</v>
      </c>
      <c r="AJ81" s="13">
        <f>AI81*VLOOKUP('Données projet'!$B$10,Paramètres!$A$1:$I$89,3,0)*VLOOKUP('Données projet'!$B$10,Paramètres!$A$1:$I$89,5,0)</f>
        <v>256.81968000000001</v>
      </c>
      <c r="AK81" s="13">
        <f t="shared" si="89"/>
        <v>62.043977430851903</v>
      </c>
      <c r="AL81" s="20">
        <f t="shared" si="58"/>
        <v>555.35420335873368</v>
      </c>
      <c r="AM81" s="59">
        <f t="shared" si="59"/>
        <v>825.27764139315991</v>
      </c>
      <c r="AN81" s="59">
        <f ca="1">AVERAGE(OFFSET($AM$3,0,0,'Données projet'!$E$10+1,1))-AVERAGE(OFFSET($H$3,0,0,'Données projet'!$E$10+1,1))</f>
        <v>377.28055430105911</v>
      </c>
      <c r="AO81" s="59">
        <f t="shared" si="90"/>
        <v>364.58250627635425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14.071886868293067</v>
      </c>
      <c r="AV81" s="21">
        <f>EXP(-LN(2)/25)*AV80+(1-EXP(-LN(2)/25))/(LN(2)/25)*Calculateur!AQ81*Calculateur!AS81*VLOOKUP('Données projet'!$B$10,Paramètres!$A$1:$I$89,3,0)*0.475*44/12</f>
        <v>13.760781947727086</v>
      </c>
      <c r="AW81" s="21">
        <f>EXP(-LN(2)/2)*AW80+(1-EXP(-LN(2)/2))/(LN(2)/2)*AQ81*AT81*VLOOKUP('Données projet'!$B$10,Paramètres!$A$1:$I$89,3,0)*0.475*44/12</f>
        <v>0.98209022089442133</v>
      </c>
      <c r="AX81" s="21">
        <f t="shared" si="60"/>
        <v>28.814759036914573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4.4337866711430253E-14</v>
      </c>
      <c r="BF81" s="13">
        <f t="shared" si="91"/>
        <v>7.3222115536967035E-13</v>
      </c>
      <c r="BG81" s="20">
        <f t="shared" si="61"/>
        <v>1.3525069634579169E-12</v>
      </c>
      <c r="BH81" s="59">
        <f t="shared" si="62"/>
        <v>269.92343803442759</v>
      </c>
      <c r="BI81" s="59">
        <f ca="1">AVERAGE(OFFSET($BH$3,0,0,'Données projet'!$E$11+1,1))-AVERAGE(OFFSET($H$3,0,0,'Données projet'!$E$11+1,1))</f>
        <v>308.85018589589453</v>
      </c>
      <c r="BJ81" s="59">
        <f t="shared" si="92"/>
        <v>302.59481222418219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35.978777401695773</v>
      </c>
      <c r="BQ81" s="21">
        <f>EXP(-LN(2)/25)*BQ80+(1-EXP(-LN(2)/25))/(LN(2)/25)*Calculateur!BL81*Calculateur!BN81*VLOOKUP('Données projet'!$B$11,Paramètres!$A$1:$I$89,3,0)*0.475*44/12</f>
        <v>32.986074225593995</v>
      </c>
      <c r="BR81" s="21">
        <f>EXP(-LN(2)/2)*BR80+(1-EXP(-LN(2)/2))/(LN(2)/2)*BL81*BO81*VLOOKUP('Données projet'!$B$11,Paramètres!$A$1:$I$89,3,0)*0.475*44/12</f>
        <v>2.685062181809589</v>
      </c>
      <c r="BS81" s="22">
        <f t="shared" si="63"/>
        <v>71.649913809099345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>
        <f>VLOOKUP(A81,'Données projet'!$A$139:$I$159,2,0)</f>
        <v>194</v>
      </c>
      <c r="CR81" s="12">
        <f>VLOOKUP(A81,'Données projet'!$A$139:$I$159,9,0)</f>
        <v>5.9</v>
      </c>
      <c r="CS81" s="12">
        <f t="array" ref="CS81">INDEX(CR:CR,MIN(IF(ISNUMBER(CR81:CR277),ROW(CR81:CR277),"")))</f>
        <v>5.9</v>
      </c>
      <c r="CT81" s="12">
        <f>IF('Données projet'!$A$140&gt;35,CT80+CS81-DB80,IF(A81&lt;'Données projet'!$A$140,$CQ$205^A81,IF(A81='Données projet'!$A$140,'Données projet'!$B$140,CT80+CS81-DB80)))</f>
        <v>194.00000000000017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6</v>
      </c>
      <c r="DB81" s="15">
        <f>IF(ISNA(VLOOKUP(A81,'Données projet'!$A$139:$I$159,4,0)),0,VLOOKUP(A81,'Données projet'!$A$139:$I$159,4,0))</f>
        <v>32</v>
      </c>
      <c r="DC81" s="16" t="e">
        <f>IF(ISNA(VLOOKUP(A81,'Données projet'!$A$139:$I$159,5,0)),0%,VLOOKUP(A81,'Données projet'!$A$139:$I$159,5,0)*VLOOKUP('Données projet'!$B$13,Paramètres!$A$1:$I$89,7,0))</f>
        <v>#N/A</v>
      </c>
      <c r="DD81" s="16" t="e">
        <f>IF(ISNA(VLOOKUP(A81,'Données projet'!$A$139:$I$159,6,0)),0%,VLOOKUP(A81,'Données projet'!$A$139:$I$159,6,0)*VLOOKUP('Données projet'!$B$13,Paramètres!$A$1:$I$89,7,0))</f>
        <v>#N/A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1046.8475443083191</v>
      </c>
      <c r="S82" s="59">
        <f ca="1">AVERAGE(OFFSET($R$3,0,0,'Données projet'!$E$9+1,1))-AVERAGE(OFFSET($H$3,0,0,'Données projet'!$E$9+1,1))</f>
        <v>737.40414421611001</v>
      </c>
      <c r="T82" s="59">
        <f t="shared" si="88"/>
        <v>245.32893490531674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326.39999999999998</v>
      </c>
      <c r="AJ82" s="13">
        <f>AI82*VLOOKUP('Données projet'!$B$10,Paramètres!$A$1:$I$89,3,0)*VLOOKUP('Données projet'!$B$10,Paramètres!$A$1:$I$89,5,0)</f>
        <v>259.68384000000003</v>
      </c>
      <c r="AK82" s="13">
        <f t="shared" si="89"/>
        <v>62.654980648867358</v>
      </c>
      <c r="AL82" s="20">
        <f t="shared" si="58"/>
        <v>561.40677929677736</v>
      </c>
      <c r="AM82" s="59">
        <f t="shared" si="59"/>
        <v>831.73632667795437</v>
      </c>
      <c r="AN82" s="59">
        <f ca="1">AVERAGE(OFFSET($AM$3,0,0,'Données projet'!$E$10+1,1))-AVERAGE(OFFSET($H$3,0,0,'Données projet'!$E$10+1,1))</f>
        <v>377.28055430105911</v>
      </c>
      <c r="AO82" s="59">
        <f t="shared" si="90"/>
        <v>364.58250627635425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13.795945749809329</v>
      </c>
      <c r="AV82" s="21">
        <f>EXP(-LN(2)/25)*AV81+(1-EXP(-LN(2)/25))/(LN(2)/25)*Calculateur!AQ82*Calculateur!AS82*VLOOKUP('Données projet'!$B$10,Paramètres!$A$1:$I$89,3,0)*0.475*44/12</f>
        <v>13.384492641718417</v>
      </c>
      <c r="AW82" s="21">
        <f>EXP(-LN(2)/2)*AW81+(1-EXP(-LN(2)/2))/(LN(2)/2)*AQ82*AT82*VLOOKUP('Données projet'!$B$10,Paramètres!$A$1:$I$89,3,0)*0.475*44/12</f>
        <v>0.69444265493143975</v>
      </c>
      <c r="AX82" s="21">
        <f t="shared" si="60"/>
        <v>27.874881046459183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4.4337866711430253E-14</v>
      </c>
      <c r="BF82" s="13">
        <f t="shared" si="91"/>
        <v>7.3222115536967035E-13</v>
      </c>
      <c r="BG82" s="20">
        <f t="shared" si="61"/>
        <v>1.3525069634579169E-12</v>
      </c>
      <c r="BH82" s="59">
        <f t="shared" si="62"/>
        <v>270.32954738117832</v>
      </c>
      <c r="BI82" s="59">
        <f ca="1">AVERAGE(OFFSET($BH$3,0,0,'Données projet'!$E$11+1,1))-AVERAGE(OFFSET($H$3,0,0,'Données projet'!$E$11+1,1))</f>
        <v>308.85018589589453</v>
      </c>
      <c r="BJ82" s="59">
        <f t="shared" si="92"/>
        <v>302.59481222418219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35.273255521735855</v>
      </c>
      <c r="BQ82" s="21">
        <f>EXP(-LN(2)/25)*BQ81+(1-EXP(-LN(2)/25))/(LN(2)/25)*Calculateur!BL82*Calculateur!BN82*VLOOKUP('Données projet'!$B$11,Paramètres!$A$1:$I$89,3,0)*0.475*44/12</f>
        <v>32.084068291232875</v>
      </c>
      <c r="BR82" s="21">
        <f>EXP(-LN(2)/2)*BR81+(1-EXP(-LN(2)/2))/(LN(2)/2)*BL82*BO82*VLOOKUP('Données projet'!$B$11,Paramètres!$A$1:$I$89,3,0)*0.475*44/12</f>
        <v>1.8986256766651071</v>
      </c>
      <c r="BS82" s="22">
        <f t="shared" si="63"/>
        <v>69.255949489633835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5.7</v>
      </c>
      <c r="CT82" s="12">
        <f>IF('Données projet'!$A$140&gt;35,CT81+CS82-DB81,IF(A82&lt;'Données projet'!$A$140,$CQ$205^A82,IF(A82='Données projet'!$A$140,'Données projet'!$B$140,CT81+CS82-DB81)))</f>
        <v>167.70000000000016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1070.1855816695559</v>
      </c>
      <c r="S83" s="59">
        <f ca="1">AVERAGE(OFFSET($R$3,0,0,'Données projet'!$E$9+1,1))-AVERAGE(OFFSET($H$3,0,0,'Données projet'!$E$9+1,1))</f>
        <v>737.40414421611001</v>
      </c>
      <c r="T83" s="59">
        <f t="shared" si="88"/>
        <v>245.32893490531674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330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330</v>
      </c>
      <c r="AJ83" s="13">
        <f>AI83*VLOOKUP('Données projet'!$B$10,Paramètres!$A$1:$I$89,3,0)*VLOOKUP('Données projet'!$B$10,Paramètres!$A$1:$I$89,5,0)</f>
        <v>262.548</v>
      </c>
      <c r="AK83" s="13">
        <f t="shared" si="89"/>
        <v>63.265199933079444</v>
      </c>
      <c r="AL83" s="20">
        <f t="shared" si="58"/>
        <v>567.45798988344666</v>
      </c>
      <c r="AM83" s="59">
        <f t="shared" si="59"/>
        <v>838.18660152213283</v>
      </c>
      <c r="AN83" s="59">
        <f ca="1">AVERAGE(OFFSET($AM$3,0,0,'Données projet'!$E$10+1,1))-AVERAGE(OFFSET($H$3,0,0,'Données projet'!$E$10+1,1))</f>
        <v>377.28055430105911</v>
      </c>
      <c r="AO83" s="59">
        <f t="shared" si="90"/>
        <v>364.58250627635425</v>
      </c>
      <c r="AP83" s="15" t="str">
        <f>IF(ISNA(VLOOKUP(A83,'Données projet'!$A$61:$I$81,3,0)),0,VLOOKUP(A83,'Données projet'!$A$61:$I$81,3,0))</f>
        <v>CR</v>
      </c>
      <c r="AQ83" s="15">
        <f>IF(ISNA(VLOOKUP(A83,'Données projet'!$A$61:$I$81,4,0)),0,VLOOKUP(A83,'Données projet'!$A$61:$I$81,4,0))</f>
        <v>330</v>
      </c>
      <c r="AR83" s="16">
        <f>IF(ISNA(VLOOKUP(A83,'Données projet'!$A$61:$I$81,5,0)),0%,VLOOKUP(A83,'Données projet'!$A$61:$I$81,5,0)*VLOOKUP('Données projet'!$B$10,Paramètres!$A$1:$I$89,7,0))</f>
        <v>0.13250000000000001</v>
      </c>
      <c r="AS83" s="16">
        <f>IF(ISNA(VLOOKUP(A83,'Données projet'!$A$61:$I$81,6,0)),0%,VLOOKUP(A83,'Données projet'!$A$61:$I$81,6,0)*VLOOKUP('Données projet'!$B$10,Paramètres!$A$1:$I$89,7,0))</f>
        <v>0.13250000000000001</v>
      </c>
      <c r="AT83" s="16">
        <f>IF(ISNA(VLOOKUP(A83,'Données projet'!$A$61:$I$81,7,0)),0%,VLOOKUP(A83,'Données projet'!$A$61:$I$81,7,0))</f>
        <v>0.25</v>
      </c>
      <c r="AU83" s="21">
        <f>EXP(-LN(2)/35)*AU82+(1-EXP(-LN(2)/35))/(LN(2)/35)*AQ83*AR83*VLOOKUP('Données projet'!$B$10,Paramètres!$A$1:$I$89,3,0)*0.475*44/12</f>
        <v>51.982088098095851</v>
      </c>
      <c r="AV83" s="21">
        <f>EXP(-LN(2)/25)*AV82+(1-EXP(-LN(2)/25))/(LN(2)/25)*Calculateur!AQ83*Calculateur!AS83*VLOOKUP('Données projet'!$B$10,Paramètres!$A$1:$I$89,3,0)*0.475*44/12</f>
        <v>51.323746843818121</v>
      </c>
      <c r="AW83" s="21">
        <f>EXP(-LN(2)/2)*AW82+(1-EXP(-LN(2)/2))/(LN(2)/2)*AQ83*AT83*VLOOKUP('Données projet'!$B$10,Paramètres!$A$1:$I$89,3,0)*0.475*44/12</f>
        <v>62.421321204401075</v>
      </c>
      <c r="AX83" s="21">
        <f t="shared" si="60"/>
        <v>165.72715614631505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4.4337866711430253E-14</v>
      </c>
      <c r="BF83" s="13">
        <f t="shared" si="91"/>
        <v>7.3222115536967035E-13</v>
      </c>
      <c r="BG83" s="20">
        <f t="shared" si="61"/>
        <v>1.3525069634579169E-12</v>
      </c>
      <c r="BH83" s="59">
        <f t="shared" si="62"/>
        <v>270.72861163868748</v>
      </c>
      <c r="BI83" s="59">
        <f ca="1">AVERAGE(OFFSET($BH$3,0,0,'Données projet'!$E$11+1,1))-AVERAGE(OFFSET($H$3,0,0,'Données projet'!$E$11+1,1))</f>
        <v>308.85018589589453</v>
      </c>
      <c r="BJ83" s="59">
        <f t="shared" si="92"/>
        <v>302.59481222418219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34.581568495516095</v>
      </c>
      <c r="BQ83" s="21">
        <f>EXP(-LN(2)/25)*BQ82+(1-EXP(-LN(2)/25))/(LN(2)/25)*Calculateur!BL83*Calculateur!BN83*VLOOKUP('Données projet'!$B$11,Paramètres!$A$1:$I$89,3,0)*0.475*44/12</f>
        <v>31.206727756581291</v>
      </c>
      <c r="BR83" s="21">
        <f>EXP(-LN(2)/2)*BR82+(1-EXP(-LN(2)/2))/(LN(2)/2)*BL83*BO83*VLOOKUP('Données projet'!$B$11,Paramètres!$A$1:$I$89,3,0)*0.475*44/12</f>
        <v>1.3425310909047947</v>
      </c>
      <c r="BS83" s="22">
        <f t="shared" si="63"/>
        <v>67.130827343002181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5.7</v>
      </c>
      <c r="CT83" s="12">
        <f>IF('Données projet'!$A$140&gt;35,CT82+CS83-DB82,IF(A83&lt;'Données projet'!$A$140,$CQ$205^A83,IF(A83='Données projet'!$A$140,'Données projet'!$B$140,CT82+CS83-DB82)))</f>
        <v>173.40000000000015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1093.5034085841019</v>
      </c>
      <c r="S84" s="59">
        <f ca="1">AVERAGE(OFFSET($R$3,0,0,'Données projet'!$E$9+1,1))-AVERAGE(OFFSET($H$3,0,0,'Données projet'!$E$9+1,1))</f>
        <v>737.40414421611001</v>
      </c>
      <c r="T84" s="59">
        <f t="shared" si="88"/>
        <v>245.32893490531674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377.28055430105911</v>
      </c>
      <c r="AO84" s="59">
        <f t="shared" si="90"/>
        <v>364.58250627635425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50.962751056435231</v>
      </c>
      <c r="AV84" s="21">
        <f>EXP(-LN(2)/25)*AV83+(1-EXP(-LN(2)/25))/(LN(2)/25)*Calculateur!AQ84*Calculateur!AS84*VLOOKUP('Données projet'!$B$10,Paramètres!$A$1:$I$89,3,0)*0.475*44/12</f>
        <v>49.920296287375372</v>
      </c>
      <c r="AW84" s="21">
        <f>EXP(-LN(2)/2)*AW83+(1-EXP(-LN(2)/2))/(LN(2)/2)*AQ84*AT84*VLOOKUP('Données projet'!$B$10,Paramètres!$A$1:$I$89,3,0)*0.475*44/12</f>
        <v>44.138539514255633</v>
      </c>
      <c r="AX84" s="21">
        <f t="shared" si="60"/>
        <v>145.02158685806623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4.4337866711430253E-14</v>
      </c>
      <c r="BF84" s="13">
        <f t="shared" si="91"/>
        <v>7.3222115536967035E-13</v>
      </c>
      <c r="BG84" s="20">
        <f t="shared" si="61"/>
        <v>1.3525069634579169E-12</v>
      </c>
      <c r="BH84" s="59">
        <f t="shared" si="62"/>
        <v>271.1207530235028</v>
      </c>
      <c r="BI84" s="59">
        <f ca="1">AVERAGE(OFFSET($BH$3,0,0,'Données projet'!$E$11+1,1))-AVERAGE(OFFSET($H$3,0,0,'Données projet'!$E$11+1,1))</f>
        <v>308.85018589589453</v>
      </c>
      <c r="BJ84" s="59">
        <f t="shared" si="92"/>
        <v>302.59481222418219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33.90344502999308</v>
      </c>
      <c r="BQ84" s="21">
        <f>EXP(-LN(2)/25)*BQ83+(1-EXP(-LN(2)/25))/(LN(2)/25)*Calculateur!BL84*Calculateur!BN84*VLOOKUP('Données projet'!$B$11,Paramètres!$A$1:$I$89,3,0)*0.475*44/12</f>
        <v>30.353378144987087</v>
      </c>
      <c r="BR84" s="21">
        <f>EXP(-LN(2)/2)*BR83+(1-EXP(-LN(2)/2))/(LN(2)/2)*BL84*BO84*VLOOKUP('Données projet'!$B$11,Paramètres!$A$1:$I$89,3,0)*0.475*44/12</f>
        <v>0.94931283833255364</v>
      </c>
      <c r="BS84" s="22">
        <f t="shared" si="63"/>
        <v>65.206136013312729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5.7</v>
      </c>
      <c r="CT84" s="12">
        <f>IF('Données projet'!$A$140&gt;35,CT83+CS84-DB83,IF(A84&lt;'Données projet'!$A$140,$CQ$205^A84,IF(A84='Données projet'!$A$140,'Données projet'!$B$140,CT83+CS84-DB83)))</f>
        <v>179.10000000000014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1116.8015672003612</v>
      </c>
      <c r="S85" s="59">
        <f ca="1">AVERAGE(OFFSET($R$3,0,0,'Données projet'!$E$9+1,1))-AVERAGE(OFFSET($H$3,0,0,'Données projet'!$E$9+1,1))</f>
        <v>737.40414421611001</v>
      </c>
      <c r="T85" s="59">
        <f t="shared" si="88"/>
        <v>245.32893490531674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377.28055430105911</v>
      </c>
      <c r="AO85" s="59">
        <f t="shared" si="90"/>
        <v>364.58250627635425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49.963402592427371</v>
      </c>
      <c r="AV85" s="21">
        <f>EXP(-LN(2)/25)*AV84+(1-EXP(-LN(2)/25))/(LN(2)/25)*Calculateur!AQ85*Calculateur!AS85*VLOOKUP('Données projet'!$B$10,Paramètres!$A$1:$I$89,3,0)*0.475*44/12</f>
        <v>48.555223160202807</v>
      </c>
      <c r="AW85" s="21">
        <f>EXP(-LN(2)/2)*AW84+(1-EXP(-LN(2)/2))/(LN(2)/2)*AQ85*AT85*VLOOKUP('Données projet'!$B$10,Paramètres!$A$1:$I$89,3,0)*0.475*44/12</f>
        <v>31.210660602200541</v>
      </c>
      <c r="AX85" s="21">
        <f t="shared" si="60"/>
        <v>129.72928635483072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4.4337866711430253E-14</v>
      </c>
      <c r="BF85" s="13">
        <f t="shared" si="91"/>
        <v>7.3222115536967035E-13</v>
      </c>
      <c r="BG85" s="20">
        <f t="shared" si="61"/>
        <v>1.3525069634579169E-12</v>
      </c>
      <c r="BH85" s="59">
        <f t="shared" si="62"/>
        <v>271.5060916319884</v>
      </c>
      <c r="BI85" s="59">
        <f ca="1">AVERAGE(OFFSET($BH$3,0,0,'Données projet'!$E$11+1,1))-AVERAGE(OFFSET($H$3,0,0,'Données projet'!$E$11+1,1))</f>
        <v>308.85018589589453</v>
      </c>
      <c r="BJ85" s="59">
        <f t="shared" si="92"/>
        <v>302.59481222418219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33.238619152014493</v>
      </c>
      <c r="BQ85" s="21">
        <f>EXP(-LN(2)/25)*BQ84+(1-EXP(-LN(2)/25))/(LN(2)/25)*Calculateur!BL85*Calculateur!BN85*VLOOKUP('Données projet'!$B$11,Paramètres!$A$1:$I$89,3,0)*0.475*44/12</f>
        <v>29.523363423397633</v>
      </c>
      <c r="BR85" s="21">
        <f>EXP(-LN(2)/2)*BR84+(1-EXP(-LN(2)/2))/(LN(2)/2)*BL85*BO85*VLOOKUP('Données projet'!$B$11,Paramètres!$A$1:$I$89,3,0)*0.475*44/12</f>
        <v>0.67126554545239747</v>
      </c>
      <c r="BS85" s="22">
        <f t="shared" si="63"/>
        <v>63.433248120864526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5.7</v>
      </c>
      <c r="CT85" s="12">
        <f>IF('Données projet'!$A$140&gt;35,CT84+CS85-DB84,IF(A85&lt;'Données projet'!$A$140,$CQ$205^A85,IF(A85='Données projet'!$A$140,'Données projet'!$B$140,CT84+CS85-DB84)))</f>
        <v>184.80000000000013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1028.9795738845428</v>
      </c>
      <c r="S86" s="59">
        <f ca="1">AVERAGE(OFFSET($R$3,0,0,'Données projet'!$E$9+1,1))-AVERAGE(OFFSET($H$3,0,0,'Données projet'!$E$9+1,1))</f>
        <v>737.40414421611001</v>
      </c>
      <c r="T86" s="59">
        <f t="shared" si="88"/>
        <v>245.32893490531674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377.28055430105911</v>
      </c>
      <c r="AO86" s="59">
        <f t="shared" si="90"/>
        <v>364.58250627635425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48.98365074225633</v>
      </c>
      <c r="AV86" s="21">
        <f>EXP(-LN(2)/25)*AV85+(1-EXP(-LN(2)/25))/(LN(2)/25)*Calculateur!AQ86*Calculateur!AS86*VLOOKUP('Données projet'!$B$10,Paramètres!$A$1:$I$89,3,0)*0.475*44/12</f>
        <v>47.227478029478853</v>
      </c>
      <c r="AW86" s="21">
        <f>EXP(-LN(2)/2)*AW85+(1-EXP(-LN(2)/2))/(LN(2)/2)*AQ86*AT86*VLOOKUP('Données projet'!$B$10,Paramètres!$A$1:$I$89,3,0)*0.475*44/12</f>
        <v>22.06926975712782</v>
      </c>
      <c r="AX86" s="21">
        <f t="shared" si="60"/>
        <v>118.280398528863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4.4337866711430253E-14</v>
      </c>
      <c r="BF86" s="13">
        <f t="shared" si="91"/>
        <v>7.3222115536967035E-13</v>
      </c>
      <c r="BG86" s="20">
        <f t="shared" si="61"/>
        <v>1.3525069634579169E-12</v>
      </c>
      <c r="BH86" s="59">
        <f t="shared" si="62"/>
        <v>271.88474547710484</v>
      </c>
      <c r="BI86" s="59">
        <f ca="1">AVERAGE(OFFSET($BH$3,0,0,'Données projet'!$E$11+1,1))-AVERAGE(OFFSET($H$3,0,0,'Données projet'!$E$11+1,1))</f>
        <v>308.85018589589453</v>
      </c>
      <c r="BJ86" s="59">
        <f t="shared" si="92"/>
        <v>302.59481222418219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32.586830103999326</v>
      </c>
      <c r="BQ86" s="21">
        <f>EXP(-LN(2)/25)*BQ85+(1-EXP(-LN(2)/25))/(LN(2)/25)*Calculateur!BL86*Calculateur!BN86*VLOOKUP('Données projet'!$B$11,Paramètres!$A$1:$I$89,3,0)*0.475*44/12</f>
        <v>28.716045498018619</v>
      </c>
      <c r="BR86" s="21">
        <f>EXP(-LN(2)/2)*BR85+(1-EXP(-LN(2)/2))/(LN(2)/2)*BL86*BO86*VLOOKUP('Données projet'!$B$11,Paramètres!$A$1:$I$89,3,0)*0.475*44/12</f>
        <v>0.47465641916627693</v>
      </c>
      <c r="BS86" s="22">
        <f t="shared" si="63"/>
        <v>61.777532021184228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5.7</v>
      </c>
      <c r="CT86" s="12">
        <f>IF('Données projet'!$A$140&gt;35,CT85+CS86-DB85,IF(A86&lt;'Données projet'!$A$140,$CQ$205^A86,IF(A86='Données projet'!$A$140,'Données projet'!$B$140,CT85+CS86-DB85)))</f>
        <v>190.50000000000011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1051.5141681368925</v>
      </c>
      <c r="S87" s="59">
        <f ca="1">AVERAGE(OFFSET($R$3,0,0,'Données projet'!$E$9+1,1))-AVERAGE(OFFSET($H$3,0,0,'Données projet'!$E$9+1,1))</f>
        <v>737.40414421611001</v>
      </c>
      <c r="T87" s="59">
        <f t="shared" si="88"/>
        <v>245.32893490531674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377.28055430105911</v>
      </c>
      <c r="AO87" s="59">
        <f t="shared" si="90"/>
        <v>364.58250627635425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48.023111228277521</v>
      </c>
      <c r="AV87" s="21">
        <f>EXP(-LN(2)/25)*AV86+(1-EXP(-LN(2)/25))/(LN(2)/25)*Calculateur!AQ87*Calculateur!AS87*VLOOKUP('Données projet'!$B$10,Paramètres!$A$1:$I$89,3,0)*0.475*44/12</f>
        <v>45.936040159177622</v>
      </c>
      <c r="AW87" s="21">
        <f>EXP(-LN(2)/2)*AW86+(1-EXP(-LN(2)/2))/(LN(2)/2)*AQ87*AT87*VLOOKUP('Données projet'!$B$10,Paramètres!$A$1:$I$89,3,0)*0.475*44/12</f>
        <v>15.605330301100274</v>
      </c>
      <c r="AX87" s="21">
        <f t="shared" si="60"/>
        <v>109.56448168855542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4.4337866711430253E-14</v>
      </c>
      <c r="BF87" s="13">
        <f t="shared" si="91"/>
        <v>7.3222115536967035E-13</v>
      </c>
      <c r="BG87" s="20">
        <f t="shared" si="61"/>
        <v>1.3525069634579169E-12</v>
      </c>
      <c r="BH87" s="59">
        <f t="shared" si="62"/>
        <v>272.25683052455167</v>
      </c>
      <c r="BI87" s="59">
        <f ca="1">AVERAGE(OFFSET($BH$3,0,0,'Données projet'!$E$11+1,1))-AVERAGE(OFFSET($H$3,0,0,'Données projet'!$E$11+1,1))</f>
        <v>308.85018589589453</v>
      </c>
      <c r="BJ87" s="59">
        <f t="shared" si="92"/>
        <v>302.59481222418219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31.947822241663669</v>
      </c>
      <c r="BQ87" s="21">
        <f>EXP(-LN(2)/25)*BQ86+(1-EXP(-LN(2)/25))/(LN(2)/25)*Calculateur!BL87*Calculateur!BN87*VLOOKUP('Données projet'!$B$11,Paramètres!$A$1:$I$89,3,0)*0.475*44/12</f>
        <v>27.9308037237641</v>
      </c>
      <c r="BR87" s="21">
        <f>EXP(-LN(2)/2)*BR86+(1-EXP(-LN(2)/2))/(LN(2)/2)*BL87*BO87*VLOOKUP('Données projet'!$B$11,Paramètres!$A$1:$I$89,3,0)*0.475*44/12</f>
        <v>0.33563277272619879</v>
      </c>
      <c r="BS87" s="22">
        <f t="shared" si="63"/>
        <v>60.214258738153973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5.7</v>
      </c>
      <c r="CT87" s="12">
        <f>IF('Données projet'!$A$140&gt;35,CT86+CS87-DB86,IF(A87&lt;'Données projet'!$A$140,$CQ$205^A87,IF(A87='Données projet'!$A$140,'Données projet'!$B$140,CT86+CS87-DB86)))</f>
        <v>196.2000000000001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1074.0295498549121</v>
      </c>
      <c r="S88" s="59">
        <f ca="1">AVERAGE(OFFSET($R$3,0,0,'Données projet'!$E$9+1,1))-AVERAGE(OFFSET($H$3,0,0,'Données projet'!$E$9+1,1))</f>
        <v>737.40414421611001</v>
      </c>
      <c r="T88" s="59">
        <f t="shared" si="88"/>
        <v>245.32893490531674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377.28055430105911</v>
      </c>
      <c r="AO88" s="59">
        <f t="shared" si="90"/>
        <v>364.58250627635425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47.081407308296583</v>
      </c>
      <c r="AV88" s="21">
        <f>EXP(-LN(2)/25)*AV87+(1-EXP(-LN(2)/25))/(LN(2)/25)*Calculateur!AQ88*Calculateur!AS88*VLOOKUP('Données projet'!$B$10,Paramètres!$A$1:$I$89,3,0)*0.475*44/12</f>
        <v>44.67991672535355</v>
      </c>
      <c r="AW88" s="21">
        <f>EXP(-LN(2)/2)*AW87+(1-EXP(-LN(2)/2))/(LN(2)/2)*AQ88*AT88*VLOOKUP('Données projet'!$B$10,Paramètres!$A$1:$I$89,3,0)*0.475*44/12</f>
        <v>11.034634878563912</v>
      </c>
      <c r="AX88" s="21">
        <f t="shared" si="60"/>
        <v>102.79595891221405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4.4337866711430253E-14</v>
      </c>
      <c r="BF88" s="13">
        <f t="shared" si="91"/>
        <v>7.3222115536967035E-13</v>
      </c>
      <c r="BG88" s="20">
        <f t="shared" si="61"/>
        <v>1.3525069634579169E-12</v>
      </c>
      <c r="BH88" s="59">
        <f t="shared" si="62"/>
        <v>272.62246072828287</v>
      </c>
      <c r="BI88" s="59">
        <f ca="1">AVERAGE(OFFSET($BH$3,0,0,'Données projet'!$E$11+1,1))-AVERAGE(OFFSET($H$3,0,0,'Données projet'!$E$11+1,1))</f>
        <v>308.85018589589453</v>
      </c>
      <c r="BJ88" s="59">
        <f t="shared" si="92"/>
        <v>302.59481222418219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31.321344933752105</v>
      </c>
      <c r="BQ88" s="21">
        <f>EXP(-LN(2)/25)*BQ87+(1-EXP(-LN(2)/25))/(LN(2)/25)*Calculateur!BL88*Calculateur!BN88*VLOOKUP('Données projet'!$B$11,Paramètres!$A$1:$I$89,3,0)*0.475*44/12</f>
        <v>27.16703442712064</v>
      </c>
      <c r="BR88" s="21">
        <f>EXP(-LN(2)/2)*BR87+(1-EXP(-LN(2)/2))/(LN(2)/2)*BL88*BO88*VLOOKUP('Données projet'!$B$11,Paramètres!$A$1:$I$89,3,0)*0.475*44/12</f>
        <v>0.23732820958313849</v>
      </c>
      <c r="BS88" s="22">
        <f t="shared" si="63"/>
        <v>58.725707570455882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5.7</v>
      </c>
      <c r="CT88" s="12">
        <f>IF('Données projet'!$A$140&gt;35,CT87+CS88-DB87,IF(A88&lt;'Données projet'!$A$140,$CQ$205^A88,IF(A88='Données projet'!$A$140,'Données projet'!$B$140,CT87+CS88-DB87)))</f>
        <v>201.90000000000009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1096.5262327960791</v>
      </c>
      <c r="S89" s="59">
        <f ca="1">AVERAGE(OFFSET($R$3,0,0,'Données projet'!$E$9+1,1))-AVERAGE(OFFSET($H$3,0,0,'Données projet'!$E$9+1,1))</f>
        <v>737.40414421611001</v>
      </c>
      <c r="T89" s="59">
        <f t="shared" si="88"/>
        <v>245.32893490531674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377.28055430105911</v>
      </c>
      <c r="AO89" s="59">
        <f t="shared" si="90"/>
        <v>364.58250627635425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46.158169627803794</v>
      </c>
      <c r="AV89" s="21">
        <f>EXP(-LN(2)/25)*AV88+(1-EXP(-LN(2)/25))/(LN(2)/25)*Calculateur!AQ89*Calculateur!AS89*VLOOKUP('Données projet'!$B$10,Paramètres!$A$1:$I$89,3,0)*0.475*44/12</f>
        <v>43.458142052884057</v>
      </c>
      <c r="AW89" s="21">
        <f>EXP(-LN(2)/2)*AW88+(1-EXP(-LN(2)/2))/(LN(2)/2)*AQ89*AT89*VLOOKUP('Données projet'!$B$10,Paramètres!$A$1:$I$89,3,0)*0.475*44/12</f>
        <v>7.8026651505501379</v>
      </c>
      <c r="AX89" s="21">
        <f t="shared" si="60"/>
        <v>97.418976831237998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4.4337866711430253E-14</v>
      </c>
      <c r="BF89" s="13">
        <f t="shared" si="91"/>
        <v>7.3222115536967035E-13</v>
      </c>
      <c r="BG89" s="20">
        <f t="shared" si="61"/>
        <v>1.3525069634579169E-12</v>
      </c>
      <c r="BH89" s="59">
        <f t="shared" si="62"/>
        <v>272.98174806540607</v>
      </c>
      <c r="BI89" s="59">
        <f ca="1">AVERAGE(OFFSET($BH$3,0,0,'Données projet'!$E$11+1,1))-AVERAGE(OFFSET($H$3,0,0,'Données projet'!$E$11+1,1))</f>
        <v>308.85018589589453</v>
      </c>
      <c r="BJ89" s="59">
        <f t="shared" si="92"/>
        <v>302.59481222418219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30.707152463735259</v>
      </c>
      <c r="BQ89" s="21">
        <f>EXP(-LN(2)/25)*BQ88+(1-EXP(-LN(2)/25))/(LN(2)/25)*Calculateur!BL89*Calculateur!BN89*VLOOKUP('Données projet'!$B$11,Paramètres!$A$1:$I$89,3,0)*0.475*44/12</f>
        <v>26.424150442058778</v>
      </c>
      <c r="BR89" s="21">
        <f>EXP(-LN(2)/2)*BR88+(1-EXP(-LN(2)/2))/(LN(2)/2)*BL89*BO89*VLOOKUP('Données projet'!$B$11,Paramètres!$A$1:$I$89,3,0)*0.475*44/12</f>
        <v>0.16781638636309942</v>
      </c>
      <c r="BS89" s="22">
        <f t="shared" si="63"/>
        <v>57.299119292157137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5.7</v>
      </c>
      <c r="CT89" s="12">
        <f>IF('Données projet'!$A$140&gt;35,CT88+CS89-DB88,IF(A89&lt;'Données projet'!$A$140,$CQ$205^A89,IF(A89='Données projet'!$A$140,'Données projet'!$B$140,CT88+CS89-DB88)))</f>
        <v>207.60000000000008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1119.0047054432644</v>
      </c>
      <c r="S90" s="59">
        <f ca="1">AVERAGE(OFFSET($R$3,0,0,'Données projet'!$E$9+1,1))-AVERAGE(OFFSET($H$3,0,0,'Données projet'!$E$9+1,1))</f>
        <v>737.40414421611001</v>
      </c>
      <c r="T90" s="59">
        <f t="shared" si="88"/>
        <v>245.32893490531674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377.28055430105911</v>
      </c>
      <c r="AO90" s="59">
        <f t="shared" si="90"/>
        <v>364.58250627635425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45.253036075106088</v>
      </c>
      <c r="AV90" s="21">
        <f>EXP(-LN(2)/25)*AV89+(1-EXP(-LN(2)/25))/(LN(2)/25)*Calculateur!AQ90*Calculateur!AS90*VLOOKUP('Données projet'!$B$10,Paramètres!$A$1:$I$89,3,0)*0.475*44/12</f>
        <v>42.269776873083579</v>
      </c>
      <c r="AW90" s="21">
        <f>EXP(-LN(2)/2)*AW89+(1-EXP(-LN(2)/2))/(LN(2)/2)*AQ90*AT90*VLOOKUP('Données projet'!$B$10,Paramètres!$A$1:$I$89,3,0)*0.475*44/12</f>
        <v>5.5173174392819568</v>
      </c>
      <c r="AX90" s="21">
        <f t="shared" si="60"/>
        <v>93.040130387471621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4.4337866711430253E-14</v>
      </c>
      <c r="BF90" s="13">
        <f t="shared" si="91"/>
        <v>7.3222115536967035E-13</v>
      </c>
      <c r="BG90" s="20">
        <f t="shared" si="61"/>
        <v>1.3525069634579169E-12</v>
      </c>
      <c r="BH90" s="59">
        <f t="shared" si="62"/>
        <v>273.3348025704762</v>
      </c>
      <c r="BI90" s="59">
        <f ca="1">AVERAGE(OFFSET($BH$3,0,0,'Données projet'!$E$11+1,1))-AVERAGE(OFFSET($H$3,0,0,'Données projet'!$E$11+1,1))</f>
        <v>308.85018589589453</v>
      </c>
      <c r="BJ90" s="59">
        <f t="shared" si="92"/>
        <v>302.59481222418219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30.105003933435029</v>
      </c>
      <c r="BQ90" s="21">
        <f>EXP(-LN(2)/25)*BQ89+(1-EXP(-LN(2)/25))/(LN(2)/25)*Calculateur!BL90*Calculateur!BN90*VLOOKUP('Données projet'!$B$11,Paramètres!$A$1:$I$89,3,0)*0.475*44/12</f>
        <v>25.701580658635002</v>
      </c>
      <c r="BR90" s="21">
        <f>EXP(-LN(2)/2)*BR89+(1-EXP(-LN(2)/2))/(LN(2)/2)*BL90*BO90*VLOOKUP('Données projet'!$B$11,Paramètres!$A$1:$I$89,3,0)*0.475*44/12</f>
        <v>0.11866410479156927</v>
      </c>
      <c r="BS90" s="22">
        <f t="shared" si="63"/>
        <v>55.925248696861601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5.7</v>
      </c>
      <c r="CT90" s="12">
        <f>IF('Données projet'!$A$140&gt;35,CT89+CS90-DB89,IF(A90&lt;'Données projet'!$A$140,$CQ$205^A90,IF(A90='Données projet'!$A$140,'Données projet'!$B$140,CT89+CS90-DB89)))</f>
        <v>213.30000000000007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1141.4654329805048</v>
      </c>
      <c r="S91" s="59">
        <f ca="1">AVERAGE(OFFSET($R$3,0,0,'Données projet'!$E$9+1,1))-AVERAGE(OFFSET($H$3,0,0,'Données projet'!$E$9+1,1))</f>
        <v>737.40414421611001</v>
      </c>
      <c r="T91" s="59">
        <f t="shared" si="88"/>
        <v>245.32893490531674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377.28055430105911</v>
      </c>
      <c r="AO91" s="59">
        <f t="shared" si="90"/>
        <v>364.58250627635425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44.365651639299827</v>
      </c>
      <c r="AV91" s="21">
        <f>EXP(-LN(2)/25)*AV90+(1-EXP(-LN(2)/25))/(LN(2)/25)*Calculateur!AQ91*Calculateur!AS91*VLOOKUP('Données projet'!$B$10,Paramètres!$A$1:$I$89,3,0)*0.475*44/12</f>
        <v>41.113907601618152</v>
      </c>
      <c r="AW91" s="21">
        <f>EXP(-LN(2)/2)*AW90+(1-EXP(-LN(2)/2))/(LN(2)/2)*AQ91*AT91*VLOOKUP('Données projet'!$B$10,Paramètres!$A$1:$I$89,3,0)*0.475*44/12</f>
        <v>3.9013325752750698</v>
      </c>
      <c r="AX91" s="21">
        <f t="shared" si="60"/>
        <v>89.380891816193042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4.4337866711430253E-14</v>
      </c>
      <c r="BF91" s="13">
        <f t="shared" si="91"/>
        <v>7.3222115536967035E-13</v>
      </c>
      <c r="BG91" s="20">
        <f t="shared" si="61"/>
        <v>1.3525069634579169E-12</v>
      </c>
      <c r="BH91" s="59">
        <f t="shared" si="62"/>
        <v>273.68173236919506</v>
      </c>
      <c r="BI91" s="59">
        <f ca="1">AVERAGE(OFFSET($BH$3,0,0,'Données projet'!$E$11+1,1))-AVERAGE(OFFSET($H$3,0,0,'Données projet'!$E$11+1,1))</f>
        <v>308.85018589589453</v>
      </c>
      <c r="BJ91" s="59">
        <f t="shared" si="92"/>
        <v>302.59481222418219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29.514663168539645</v>
      </c>
      <c r="BQ91" s="21">
        <f>EXP(-LN(2)/25)*BQ90+(1-EXP(-LN(2)/25))/(LN(2)/25)*Calculateur!BL91*Calculateur!BN91*VLOOKUP('Données projet'!$B$11,Paramètres!$A$1:$I$89,3,0)*0.475*44/12</f>
        <v>24.998769583937243</v>
      </c>
      <c r="BR91" s="21">
        <f>EXP(-LN(2)/2)*BR90+(1-EXP(-LN(2)/2))/(LN(2)/2)*BL91*BO91*VLOOKUP('Données projet'!$B$11,Paramètres!$A$1:$I$89,3,0)*0.475*44/12</f>
        <v>8.3908193181549726E-2</v>
      </c>
      <c r="BS91" s="22">
        <f t="shared" si="63"/>
        <v>54.597340945658438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>
        <f>VLOOKUP(A91,'Données projet'!$A$139:$I$159,2,0)</f>
        <v>219</v>
      </c>
      <c r="CR91" s="12">
        <f>VLOOKUP(A91,'Données projet'!$A$139:$I$159,9,0)</f>
        <v>5.7</v>
      </c>
      <c r="CS91" s="12">
        <f t="array" ref="CS91">INDEX(CR:CR,MIN(IF(ISNUMBER(CR91:CR287),ROW(CR91:CR287),"")))</f>
        <v>5.7</v>
      </c>
      <c r="CT91" s="12">
        <f>IF('Données projet'!$A$140&gt;35,CT90+CS91-DB90,IF(A91&lt;'Données projet'!$A$140,$CQ$205^A91,IF(A91='Données projet'!$A$140,'Données projet'!$B$140,CT90+CS91-DB90)))</f>
        <v>219.00000000000006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7</v>
      </c>
      <c r="DB91" s="15">
        <f>IF(ISNA(VLOOKUP(A91,'Données projet'!$A$139:$I$159,4,0)),0,VLOOKUP(A91,'Données projet'!$A$139:$I$159,4,0))</f>
        <v>35</v>
      </c>
      <c r="DC91" s="16" t="e">
        <f>IF(ISNA(VLOOKUP(A91,'Données projet'!$A$139:$I$159,5,0)),0%,VLOOKUP(A91,'Données projet'!$A$139:$I$159,5,0)*VLOOKUP('Données projet'!$B$13,Paramètres!$A$1:$I$89,7,0))</f>
        <v>#N/A</v>
      </c>
      <c r="DD91" s="16" t="e">
        <f>IF(ISNA(VLOOKUP(A91,'Données projet'!$A$139:$I$159,6,0)),0%,VLOOKUP(A91,'Données projet'!$A$139:$I$159,6,0)*VLOOKUP('Données projet'!$B$13,Paramètres!$A$1:$I$89,7,0))</f>
        <v>#N/A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1163.9088590601998</v>
      </c>
      <c r="S92" s="59">
        <f ca="1">AVERAGE(OFFSET($R$3,0,0,'Données projet'!$E$9+1,1))-AVERAGE(OFFSET($H$3,0,0,'Données projet'!$E$9+1,1))</f>
        <v>737.40414421611001</v>
      </c>
      <c r="T92" s="59">
        <f t="shared" si="88"/>
        <v>245.32893490531674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377.28055430105911</v>
      </c>
      <c r="AO92" s="59">
        <f t="shared" si="90"/>
        <v>364.58250627635425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43.49566827102867</v>
      </c>
      <c r="AV92" s="21">
        <f>EXP(-LN(2)/25)*AV91+(1-EXP(-LN(2)/25))/(LN(2)/25)*Calculateur!AQ92*Calculateur!AS92*VLOOKUP('Données projet'!$B$10,Paramètres!$A$1:$I$89,3,0)*0.475*44/12</f>
        <v>39.98964563616547</v>
      </c>
      <c r="AW92" s="21">
        <f>EXP(-LN(2)/2)*AW91+(1-EXP(-LN(2)/2))/(LN(2)/2)*AQ92*AT92*VLOOKUP('Données projet'!$B$10,Paramètres!$A$1:$I$89,3,0)*0.475*44/12</f>
        <v>2.7586587196409789</v>
      </c>
      <c r="AX92" s="21">
        <f t="shared" si="60"/>
        <v>86.243972626835117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4.4337866711430253E-14</v>
      </c>
      <c r="BF92" s="13">
        <f t="shared" si="91"/>
        <v>7.3222115536967035E-13</v>
      </c>
      <c r="BG92" s="20">
        <f t="shared" si="61"/>
        <v>1.3525069634579169E-12</v>
      </c>
      <c r="BH92" s="59">
        <f t="shared" si="62"/>
        <v>274.02264371152495</v>
      </c>
      <c r="BI92" s="59">
        <f ca="1">AVERAGE(OFFSET($BH$3,0,0,'Données projet'!$E$11+1,1))-AVERAGE(OFFSET($H$3,0,0,'Données projet'!$E$11+1,1))</f>
        <v>308.85018589589453</v>
      </c>
      <c r="BJ92" s="59">
        <f t="shared" si="92"/>
        <v>302.59481222418219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28.93589862597155</v>
      </c>
      <c r="BQ92" s="21">
        <f>EXP(-LN(2)/25)*BQ91+(1-EXP(-LN(2)/25))/(LN(2)/25)*Calculateur!BL92*Calculateur!BN92*VLOOKUP('Données projet'!$B$11,Paramètres!$A$1:$I$89,3,0)*0.475*44/12</f>
        <v>24.315176915036322</v>
      </c>
      <c r="BR92" s="21">
        <f>EXP(-LN(2)/2)*BR91+(1-EXP(-LN(2)/2))/(LN(2)/2)*BL92*BO92*VLOOKUP('Données projet'!$B$11,Paramètres!$A$1:$I$89,3,0)*0.475*44/12</f>
        <v>5.9332052395784644E-2</v>
      </c>
      <c r="BS92" s="22">
        <f t="shared" si="63"/>
        <v>53.310407593403653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5.7</v>
      </c>
      <c r="CT92" s="12">
        <f>IF('Données projet'!$A$140&gt;35,CT91+CS92-DB91,IF(A92&lt;'Données projet'!$A$140,$CQ$205^A92,IF(A92='Données projet'!$A$140,'Données projet'!$B$140,CT91+CS92-DB91)))</f>
        <v>189.70000000000005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1186.335407388731</v>
      </c>
      <c r="S93" s="59">
        <f ca="1">AVERAGE(OFFSET($R$3,0,0,'Données projet'!$E$9+1,1))-AVERAGE(OFFSET($H$3,0,0,'Données projet'!$E$9+1,1))</f>
        <v>737.40414421611001</v>
      </c>
      <c r="T93" s="59">
        <f t="shared" si="88"/>
        <v>245.32893490531674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377.28055430105911</v>
      </c>
      <c r="AO93" s="59">
        <f t="shared" si="90"/>
        <v>364.58250627635425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42.642744745971846</v>
      </c>
      <c r="AV93" s="21">
        <f>EXP(-LN(2)/25)*AV92+(1-EXP(-LN(2)/25))/(LN(2)/25)*Calculateur!AQ93*Calculateur!AS93*VLOOKUP('Données projet'!$B$10,Paramètres!$A$1:$I$89,3,0)*0.475*44/12</f>
        <v>38.896126673280456</v>
      </c>
      <c r="AW93" s="21">
        <f>EXP(-LN(2)/2)*AW92+(1-EXP(-LN(2)/2))/(LN(2)/2)*AQ93*AT93*VLOOKUP('Données projet'!$B$10,Paramètres!$A$1:$I$89,3,0)*0.475*44/12</f>
        <v>1.9506662876375351</v>
      </c>
      <c r="AX93" s="21">
        <f t="shared" si="60"/>
        <v>83.489537706889834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4.4337866711430253E-14</v>
      </c>
      <c r="BF93" s="13">
        <f t="shared" si="91"/>
        <v>7.3222115536967035E-13</v>
      </c>
      <c r="BG93" s="20">
        <f t="shared" si="61"/>
        <v>1.3525069634579169E-12</v>
      </c>
      <c r="BH93" s="59">
        <f t="shared" si="62"/>
        <v>274.35764100422904</v>
      </c>
      <c r="BI93" s="59">
        <f ca="1">AVERAGE(OFFSET($BH$3,0,0,'Données projet'!$E$11+1,1))-AVERAGE(OFFSET($H$3,0,0,'Données projet'!$E$11+1,1))</f>
        <v>308.85018589589453</v>
      </c>
      <c r="BJ93" s="59">
        <f t="shared" si="92"/>
        <v>302.59481222418219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28.368483303071699</v>
      </c>
      <c r="BQ93" s="21">
        <f>EXP(-LN(2)/25)*BQ92+(1-EXP(-LN(2)/25))/(LN(2)/25)*Calculateur!BL93*Calculateur!BN93*VLOOKUP('Données projet'!$B$11,Paramètres!$A$1:$I$89,3,0)*0.475*44/12</f>
        <v>23.650277123615073</v>
      </c>
      <c r="BR93" s="21">
        <f>EXP(-LN(2)/2)*BR92+(1-EXP(-LN(2)/2))/(LN(2)/2)*BL93*BO93*VLOOKUP('Données projet'!$B$11,Paramètres!$A$1:$I$89,3,0)*0.475*44/12</f>
        <v>4.195409659077487E-2</v>
      </c>
      <c r="BS93" s="22">
        <f t="shared" si="63"/>
        <v>52.060714523277539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5.7</v>
      </c>
      <c r="CT93" s="12">
        <f>IF('Données projet'!$A$140&gt;35,CT92+CS93-DB92,IF(A93&lt;'Données projet'!$A$140,$CQ$205^A93,IF(A93='Données projet'!$A$140,'Données projet'!$B$140,CT92+CS93-DB92)))</f>
        <v>195.40000000000003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1078.1464195849126</v>
      </c>
      <c r="S94" s="59">
        <f ca="1">AVERAGE(OFFSET($R$3,0,0,'Données projet'!$E$9+1,1))-AVERAGE(OFFSET($H$3,0,0,'Données projet'!$E$9+1,1))</f>
        <v>737.40414421611001</v>
      </c>
      <c r="T94" s="59">
        <f t="shared" si="88"/>
        <v>245.32893490531674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377.28055430105911</v>
      </c>
      <c r="AO94" s="59">
        <f t="shared" si="90"/>
        <v>364.58250627635425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41.80654653100941</v>
      </c>
      <c r="AV94" s="21">
        <f>EXP(-LN(2)/25)*AV93+(1-EXP(-LN(2)/25))/(LN(2)/25)*Calculateur!AQ94*Calculateur!AS94*VLOOKUP('Données projet'!$B$10,Paramètres!$A$1:$I$89,3,0)*0.475*44/12</f>
        <v>37.832510043941198</v>
      </c>
      <c r="AW94" s="21">
        <f>EXP(-LN(2)/2)*AW93+(1-EXP(-LN(2)/2))/(LN(2)/2)*AQ94*AT94*VLOOKUP('Données projet'!$B$10,Paramètres!$A$1:$I$89,3,0)*0.475*44/12</f>
        <v>1.3793293598204897</v>
      </c>
      <c r="AX94" s="21">
        <f t="shared" si="60"/>
        <v>81.018385934771104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4.4337866711430253E-14</v>
      </c>
      <c r="BF94" s="13">
        <f t="shared" si="91"/>
        <v>7.3222115536967035E-13</v>
      </c>
      <c r="BG94" s="20">
        <f t="shared" si="61"/>
        <v>1.3525069634579169E-12</v>
      </c>
      <c r="BH94" s="59">
        <f t="shared" si="62"/>
        <v>274.68682684284641</v>
      </c>
      <c r="BI94" s="59">
        <f ca="1">AVERAGE(OFFSET($BH$3,0,0,'Données projet'!$E$11+1,1))-AVERAGE(OFFSET($H$3,0,0,'Données projet'!$E$11+1,1))</f>
        <v>308.85018589589453</v>
      </c>
      <c r="BJ94" s="59">
        <f t="shared" si="92"/>
        <v>302.59481222418219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27.812194648564741</v>
      </c>
      <c r="BQ94" s="21">
        <f>EXP(-LN(2)/25)*BQ93+(1-EXP(-LN(2)/25))/(LN(2)/25)*Calculateur!BL94*Calculateur!BN94*VLOOKUP('Données projet'!$B$11,Paramètres!$A$1:$I$89,3,0)*0.475*44/12</f>
        <v>23.003559051955797</v>
      </c>
      <c r="BR94" s="21">
        <f>EXP(-LN(2)/2)*BR93+(1-EXP(-LN(2)/2))/(LN(2)/2)*BL94*BO94*VLOOKUP('Données projet'!$B$11,Paramètres!$A$1:$I$89,3,0)*0.475*44/12</f>
        <v>2.9666026197892326E-2</v>
      </c>
      <c r="BS94" s="22">
        <f t="shared" si="63"/>
        <v>50.845419726718433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5.7</v>
      </c>
      <c r="CT94" s="12">
        <f>IF('Données projet'!$A$140&gt;35,CT93+CS94-DB93,IF(A94&lt;'Données projet'!$A$140,$CQ$205^A94,IF(A94='Données projet'!$A$140,'Données projet'!$B$140,CT93+CS94-DB93)))</f>
        <v>201.10000000000002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1099.8787575793936</v>
      </c>
      <c r="S95" s="59">
        <f ca="1">AVERAGE(OFFSET($R$3,0,0,'Données projet'!$E$9+1,1))-AVERAGE(OFFSET($H$3,0,0,'Données projet'!$E$9+1,1))</f>
        <v>737.40414421611001</v>
      </c>
      <c r="T95" s="59">
        <f t="shared" si="88"/>
        <v>245.32893490531674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377.28055430105911</v>
      </c>
      <c r="AO95" s="59">
        <f t="shared" si="90"/>
        <v>364.58250627635425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40.986745653011837</v>
      </c>
      <c r="AV95" s="21">
        <f>EXP(-LN(2)/25)*AV94+(1-EXP(-LN(2)/25))/(LN(2)/25)*Calculateur!AQ95*Calculateur!AS95*VLOOKUP('Données projet'!$B$10,Paramètres!$A$1:$I$89,3,0)*0.475*44/12</f>
        <v>36.797978067264388</v>
      </c>
      <c r="AW95" s="21">
        <f>EXP(-LN(2)/2)*AW94+(1-EXP(-LN(2)/2))/(LN(2)/2)*AQ95*AT95*VLOOKUP('Données projet'!$B$10,Paramètres!$A$1:$I$89,3,0)*0.475*44/12</f>
        <v>0.97533314381876768</v>
      </c>
      <c r="AX95" s="21">
        <f t="shared" si="60"/>
        <v>78.760056864094992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4.4337866711430253E-14</v>
      </c>
      <c r="BF95" s="13">
        <f t="shared" si="91"/>
        <v>7.3222115536967035E-13</v>
      </c>
      <c r="BG95" s="20">
        <f t="shared" si="61"/>
        <v>1.3525069634579169E-12</v>
      </c>
      <c r="BH95" s="59">
        <f t="shared" si="62"/>
        <v>275.01030204311309</v>
      </c>
      <c r="BI95" s="59">
        <f ca="1">AVERAGE(OFFSET($BH$3,0,0,'Données projet'!$E$11+1,1))-AVERAGE(OFFSET($H$3,0,0,'Données projet'!$E$11+1,1))</f>
        <v>308.85018589589453</v>
      </c>
      <c r="BJ95" s="59">
        <f t="shared" si="92"/>
        <v>302.59481222418219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27.266814475270088</v>
      </c>
      <c r="BQ95" s="21">
        <f>EXP(-LN(2)/25)*BQ94+(1-EXP(-LN(2)/25))/(LN(2)/25)*Calculateur!BL95*Calculateur!BN95*VLOOKUP('Données projet'!$B$11,Paramètres!$A$1:$I$89,3,0)*0.475*44/12</f>
        <v>22.374525519975471</v>
      </c>
      <c r="BR95" s="21">
        <f>EXP(-LN(2)/2)*BR94+(1-EXP(-LN(2)/2))/(LN(2)/2)*BL95*BO95*VLOOKUP('Données projet'!$B$11,Paramètres!$A$1:$I$89,3,0)*0.475*44/12</f>
        <v>2.0977048295387435E-2</v>
      </c>
      <c r="BS95" s="22">
        <f t="shared" si="63"/>
        <v>49.662317043540945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5.7</v>
      </c>
      <c r="CT95" s="12">
        <f>IF('Données projet'!$A$140&gt;35,CT94+CS95-DB94,IF(A95&lt;'Données projet'!$A$140,$CQ$205^A95,IF(A95='Données projet'!$A$140,'Données projet'!$B$140,CT94+CS95-DB94)))</f>
        <v>206.8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1121.5943016089827</v>
      </c>
      <c r="S96" s="59">
        <f ca="1">AVERAGE(OFFSET($R$3,0,0,'Données projet'!$E$9+1,1))-AVERAGE(OFFSET($H$3,0,0,'Données projet'!$E$9+1,1))</f>
        <v>737.40414421611001</v>
      </c>
      <c r="T96" s="59">
        <f t="shared" si="88"/>
        <v>245.32893490531674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377.28055430105911</v>
      </c>
      <c r="AO96" s="59">
        <f t="shared" si="90"/>
        <v>364.58250627635425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40.183020570202636</v>
      </c>
      <c r="AV96" s="21">
        <f>EXP(-LN(2)/25)*AV95+(1-EXP(-LN(2)/25))/(LN(2)/25)*Calculateur!AQ96*Calculateur!AS96*VLOOKUP('Données projet'!$B$10,Paramètres!$A$1:$I$89,3,0)*0.475*44/12</f>
        <v>35.791735421893478</v>
      </c>
      <c r="AW96" s="21">
        <f>EXP(-LN(2)/2)*AW95+(1-EXP(-LN(2)/2))/(LN(2)/2)*AQ96*AT96*VLOOKUP('Données projet'!$B$10,Paramètres!$A$1:$I$89,3,0)*0.475*44/12</f>
        <v>0.68966467991024494</v>
      </c>
      <c r="AX96" s="21">
        <f t="shared" si="60"/>
        <v>76.664420672006358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4.4337866711430253E-14</v>
      </c>
      <c r="BF96" s="13">
        <f t="shared" si="91"/>
        <v>7.3222115536967035E-13</v>
      </c>
      <c r="BG96" s="20">
        <f t="shared" si="61"/>
        <v>1.3525069634579169E-12</v>
      </c>
      <c r="BH96" s="59">
        <f t="shared" si="62"/>
        <v>275.32816567183733</v>
      </c>
      <c r="BI96" s="59">
        <f ca="1">AVERAGE(OFFSET($BH$3,0,0,'Données projet'!$E$11+1,1))-AVERAGE(OFFSET($H$3,0,0,'Données projet'!$E$11+1,1))</f>
        <v>308.85018589589453</v>
      </c>
      <c r="BJ96" s="59">
        <f t="shared" si="92"/>
        <v>302.59481222418219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26.732128874524687</v>
      </c>
      <c r="BQ96" s="21">
        <f>EXP(-LN(2)/25)*BQ95+(1-EXP(-LN(2)/25))/(LN(2)/25)*Calculateur!BL96*Calculateur!BN96*VLOOKUP('Données projet'!$B$11,Paramètres!$A$1:$I$89,3,0)*0.475*44/12</f>
        <v>21.762692943006581</v>
      </c>
      <c r="BR96" s="21">
        <f>EXP(-LN(2)/2)*BR95+(1-EXP(-LN(2)/2))/(LN(2)/2)*BL96*BO96*VLOOKUP('Données projet'!$B$11,Paramètres!$A$1:$I$89,3,0)*0.475*44/12</f>
        <v>1.4833013098946163E-2</v>
      </c>
      <c r="BS96" s="22">
        <f t="shared" si="63"/>
        <v>48.509654830630211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5.7</v>
      </c>
      <c r="CT96" s="12">
        <f>IF('Données projet'!$A$140&gt;35,CT95+CS96-DB95,IF(A96&lt;'Données projet'!$A$140,$CQ$205^A96,IF(A96='Données projet'!$A$140,'Données projet'!$B$140,CT95+CS96-DB95)))</f>
        <v>212.5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1143.2934712009014</v>
      </c>
      <c r="S97" s="59">
        <f ca="1">AVERAGE(OFFSET($R$3,0,0,'Données projet'!$E$9+1,1))-AVERAGE(OFFSET($H$3,0,0,'Données projet'!$E$9+1,1))</f>
        <v>737.40414421611001</v>
      </c>
      <c r="T97" s="59">
        <f t="shared" si="88"/>
        <v>245.32893490531674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377.28055430105911</v>
      </c>
      <c r="AO97" s="59">
        <f t="shared" si="90"/>
        <v>364.58250627635425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39.395056046043429</v>
      </c>
      <c r="AV97" s="21">
        <f>EXP(-LN(2)/25)*AV96+(1-EXP(-LN(2)/25))/(LN(2)/25)*Calculateur!AQ97*Calculateur!AS97*VLOOKUP('Données projet'!$B$10,Paramètres!$A$1:$I$89,3,0)*0.475*44/12</f>
        <v>34.813008534576241</v>
      </c>
      <c r="AW97" s="21">
        <f>EXP(-LN(2)/2)*AW96+(1-EXP(-LN(2)/2))/(LN(2)/2)*AQ97*AT97*VLOOKUP('Données projet'!$B$10,Paramètres!$A$1:$I$89,3,0)*0.475*44/12</f>
        <v>0.48766657190938395</v>
      </c>
      <c r="AX97" s="21">
        <f t="shared" si="60"/>
        <v>74.695731152529049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4.4337866711430253E-14</v>
      </c>
      <c r="BF97" s="13">
        <f t="shared" si="91"/>
        <v>7.3222115536967035E-13</v>
      </c>
      <c r="BG97" s="20">
        <f t="shared" si="61"/>
        <v>1.3525069634579169E-12</v>
      </c>
      <c r="BH97" s="59">
        <f t="shared" si="62"/>
        <v>275.64051507723985</v>
      </c>
      <c r="BI97" s="59">
        <f ca="1">AVERAGE(OFFSET($BH$3,0,0,'Données projet'!$E$11+1,1))-AVERAGE(OFFSET($H$3,0,0,'Données projet'!$E$11+1,1))</f>
        <v>308.85018589589453</v>
      </c>
      <c r="BJ97" s="59">
        <f t="shared" si="92"/>
        <v>302.59481222418219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26.207928132283886</v>
      </c>
      <c r="BQ97" s="21">
        <f>EXP(-LN(2)/25)*BQ96+(1-EXP(-LN(2)/25))/(LN(2)/25)*Calculateur!BL97*Calculateur!BN97*VLOOKUP('Données projet'!$B$11,Paramètres!$A$1:$I$89,3,0)*0.475*44/12</f>
        <v>21.167590960029784</v>
      </c>
      <c r="BR97" s="21">
        <f>EXP(-LN(2)/2)*BR96+(1-EXP(-LN(2)/2))/(LN(2)/2)*BL97*BO97*VLOOKUP('Données projet'!$B$11,Paramètres!$A$1:$I$89,3,0)*0.475*44/12</f>
        <v>1.0488524147693717E-2</v>
      </c>
      <c r="BS97" s="22">
        <f t="shared" si="63"/>
        <v>47.386007616461363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5.7</v>
      </c>
      <c r="CT97" s="12">
        <f>IF('Données projet'!$A$140&gt;35,CT96+CS97-DB96,IF(A97&lt;'Données projet'!$A$140,$CQ$205^A97,IF(A97='Données projet'!$A$140,'Données projet'!$B$140,CT96+CS97-DB96)))</f>
        <v>218.2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1164.9766670376391</v>
      </c>
      <c r="S98" s="59">
        <f ca="1">AVERAGE(OFFSET($R$3,0,0,'Données projet'!$E$9+1,1))-AVERAGE(OFFSET($H$3,0,0,'Données projet'!$E$9+1,1))</f>
        <v>737.40414421611001</v>
      </c>
      <c r="T98" s="59">
        <f t="shared" si="88"/>
        <v>245.32893490531674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377.28055430105911</v>
      </c>
      <c r="AO98" s="59">
        <f t="shared" si="90"/>
        <v>364.58250627635425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38.62254302559208</v>
      </c>
      <c r="AV98" s="21">
        <f>EXP(-LN(2)/25)*AV97+(1-EXP(-LN(2)/25))/(LN(2)/25)*Calculateur!AQ98*Calculateur!AS98*VLOOKUP('Données projet'!$B$10,Paramètres!$A$1:$I$89,3,0)*0.475*44/12</f>
        <v>33.861044985461703</v>
      </c>
      <c r="AW98" s="21">
        <f>EXP(-LN(2)/2)*AW97+(1-EXP(-LN(2)/2))/(LN(2)/2)*AQ98*AT98*VLOOKUP('Données projet'!$B$10,Paramètres!$A$1:$I$89,3,0)*0.475*44/12</f>
        <v>0.34483233995512252</v>
      </c>
      <c r="AX98" s="21">
        <f t="shared" si="60"/>
        <v>72.828420351008901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4.4337866711430253E-14</v>
      </c>
      <c r="BF98" s="13">
        <f t="shared" si="91"/>
        <v>7.3222115536967035E-13</v>
      </c>
      <c r="BG98" s="20">
        <f t="shared" si="61"/>
        <v>1.3525069634579169E-12</v>
      </c>
      <c r="BH98" s="59">
        <f t="shared" si="62"/>
        <v>275.9474459187673</v>
      </c>
      <c r="BI98" s="59">
        <f ca="1">AVERAGE(OFFSET($BH$3,0,0,'Données projet'!$E$11+1,1))-AVERAGE(OFFSET($H$3,0,0,'Données projet'!$E$11+1,1))</f>
        <v>308.85018589589453</v>
      </c>
      <c r="BJ98" s="59">
        <f t="shared" si="92"/>
        <v>302.59481222418219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25.694006646867546</v>
      </c>
      <c r="BQ98" s="21">
        <f>EXP(-LN(2)/25)*BQ97+(1-EXP(-LN(2)/25))/(LN(2)/25)*Calculateur!BL98*Calculateur!BN98*VLOOKUP('Données projet'!$B$11,Paramètres!$A$1:$I$89,3,0)*0.475*44/12</f>
        <v>20.588762072072541</v>
      </c>
      <c r="BR98" s="21">
        <f>EXP(-LN(2)/2)*BR97+(1-EXP(-LN(2)/2))/(LN(2)/2)*BL98*BO98*VLOOKUP('Données projet'!$B$11,Paramètres!$A$1:$I$89,3,0)*0.475*44/12</f>
        <v>7.4165065494730814E-3</v>
      </c>
      <c r="BS98" s="22">
        <f t="shared" si="63"/>
        <v>46.290185225489566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5.7</v>
      </c>
      <c r="CT98" s="12">
        <f>IF('Données projet'!$A$140&gt;35,CT97+CS98-DB97,IF(A98&lt;'Données projet'!$A$140,$CQ$205^A98,IF(A98='Données projet'!$A$140,'Données projet'!$B$140,CT97+CS98-DB97)))</f>
        <v>223.89999999999998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1186.6442722985614</v>
      </c>
      <c r="S99" s="59">
        <f ca="1">AVERAGE(OFFSET($R$3,0,0,'Données projet'!$E$9+1,1))-AVERAGE(OFFSET($H$3,0,0,'Données projet'!$E$9+1,1))</f>
        <v>737.40414421611001</v>
      </c>
      <c r="T99" s="59">
        <f t="shared" si="88"/>
        <v>245.32893490531674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377.28055430105911</v>
      </c>
      <c r="AO99" s="59">
        <f t="shared" si="90"/>
        <v>364.58250627635425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37.865178514285361</v>
      </c>
      <c r="AV99" s="21">
        <f>EXP(-LN(2)/25)*AV98+(1-EXP(-LN(2)/25))/(LN(2)/25)*Calculateur!AQ99*Calculateur!AS99*VLOOKUP('Données projet'!$B$10,Paramètres!$A$1:$I$89,3,0)*0.475*44/12</f>
        <v>32.93511292965929</v>
      </c>
      <c r="AW99" s="21">
        <f>EXP(-LN(2)/2)*AW98+(1-EXP(-LN(2)/2))/(LN(2)/2)*AQ99*AT99*VLOOKUP('Données projet'!$B$10,Paramètres!$A$1:$I$89,3,0)*0.475*44/12</f>
        <v>0.243833285954692</v>
      </c>
      <c r="AX99" s="21">
        <f t="shared" si="60"/>
        <v>71.044124729899337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4.4337866711430253E-14</v>
      </c>
      <c r="BF99" s="13">
        <f t="shared" si="91"/>
        <v>7.3222115536967035E-13</v>
      </c>
      <c r="BG99" s="20">
        <f t="shared" si="61"/>
        <v>1.3525069634579169E-12</v>
      </c>
      <c r="BH99" s="59">
        <f t="shared" si="62"/>
        <v>276.24905219638879</v>
      </c>
      <c r="BI99" s="59">
        <f ca="1">AVERAGE(OFFSET($BH$3,0,0,'Données projet'!$E$11+1,1))-AVERAGE(OFFSET($H$3,0,0,'Données projet'!$E$11+1,1))</f>
        <v>308.85018589589453</v>
      </c>
      <c r="BJ99" s="59">
        <f t="shared" si="92"/>
        <v>302.59481222418219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25.190162848319066</v>
      </c>
      <c r="BQ99" s="21">
        <f>EXP(-LN(2)/25)*BQ98+(1-EXP(-LN(2)/25))/(LN(2)/25)*Calculateur!BL99*Calculateur!BN99*VLOOKUP('Données projet'!$B$11,Paramètres!$A$1:$I$89,3,0)*0.475*44/12</f>
        <v>20.025761290495776</v>
      </c>
      <c r="BR99" s="21">
        <f>EXP(-LN(2)/2)*BR98+(1-EXP(-LN(2)/2))/(LN(2)/2)*BL99*BO99*VLOOKUP('Données projet'!$B$11,Paramètres!$A$1:$I$89,3,0)*0.475*44/12</f>
        <v>5.2442620738468587E-3</v>
      </c>
      <c r="BS99" s="22">
        <f t="shared" si="63"/>
        <v>45.221168400888686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5.7</v>
      </c>
      <c r="CT99" s="12">
        <f>IF('Données projet'!$A$140&gt;35,CT98+CS99-DB98,IF(A99&lt;'Données projet'!$A$140,$CQ$205^A99,IF(A99='Données projet'!$A$140,'Données projet'!$B$140,CT98+CS99-DB98)))</f>
        <v>229.59999999999997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1208.2966538715837</v>
      </c>
      <c r="S100" s="59">
        <f ca="1">AVERAGE(OFFSET($R$3,0,0,'Données projet'!$E$9+1,1))-AVERAGE(OFFSET($H$3,0,0,'Données projet'!$E$9+1,1))</f>
        <v>737.40414421611001</v>
      </c>
      <c r="T100" s="59">
        <f t="shared" si="88"/>
        <v>245.32893490531674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377.28055430105911</v>
      </c>
      <c r="AO100" s="59">
        <f t="shared" si="90"/>
        <v>364.58250627635425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37.122665459098627</v>
      </c>
      <c r="AV100" s="21">
        <f>EXP(-LN(2)/25)*AV99+(1-EXP(-LN(2)/25))/(LN(2)/25)*Calculateur!AQ100*Calculateur!AS100*VLOOKUP('Données projet'!$B$10,Paramètres!$A$1:$I$89,3,0)*0.475*44/12</f>
        <v>32.034500534615439</v>
      </c>
      <c r="AW100" s="21">
        <f>EXP(-LN(2)/2)*AW99+(1-EXP(-LN(2)/2))/(LN(2)/2)*AQ100*AT100*VLOOKUP('Données projet'!$B$10,Paramètres!$A$1:$I$89,3,0)*0.475*44/12</f>
        <v>0.17241616997756129</v>
      </c>
      <c r="AX100" s="21">
        <f t="shared" si="60"/>
        <v>69.32958216369164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4.4337866711430253E-14</v>
      </c>
      <c r="BF100" s="13">
        <f t="shared" si="91"/>
        <v>7.3222115536967035E-13</v>
      </c>
      <c r="BG100" s="20">
        <f t="shared" si="61"/>
        <v>1.3525069634579169E-12</v>
      </c>
      <c r="BH100" s="59">
        <f t="shared" si="62"/>
        <v>276.54542627938417</v>
      </c>
      <c r="BI100" s="59">
        <f ca="1">AVERAGE(OFFSET($BH$3,0,0,'Données projet'!$E$11+1,1))-AVERAGE(OFFSET($H$3,0,0,'Données projet'!$E$11+1,1))</f>
        <v>308.85018589589453</v>
      </c>
      <c r="BJ100" s="59">
        <f t="shared" si="92"/>
        <v>302.59481222418219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24.696199119345749</v>
      </c>
      <c r="BQ100" s="21">
        <f>EXP(-LN(2)/25)*BQ99+(1-EXP(-LN(2)/25))/(LN(2)/25)*Calculateur!BL100*Calculateur!BN100*VLOOKUP('Données projet'!$B$11,Paramètres!$A$1:$I$89,3,0)*0.475*44/12</f>
        <v>19.478155794898154</v>
      </c>
      <c r="BR100" s="21">
        <f>EXP(-LN(2)/2)*BR99+(1-EXP(-LN(2)/2))/(LN(2)/2)*BL100*BO100*VLOOKUP('Données projet'!$B$11,Paramètres!$A$1:$I$89,3,0)*0.475*44/12</f>
        <v>3.7082532747365407E-3</v>
      </c>
      <c r="BS100" s="22">
        <f t="shared" si="63"/>
        <v>44.178063167518644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5.7</v>
      </c>
      <c r="CT100" s="12">
        <f>IF('Données projet'!$A$140&gt;35,CT99+CS100-DB99,IF(A100&lt;'Données projet'!$A$140,$CQ$205^A100,IF(A100='Données projet'!$A$140,'Données projet'!$B$140,CT99+CS100-DB99)))</f>
        <v>235.29999999999995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1229.9341634504085</v>
      </c>
      <c r="S101" s="59">
        <f ca="1">AVERAGE(OFFSET($R$3,0,0,'Données projet'!$E$9+1,1))-AVERAGE(OFFSET($H$3,0,0,'Données projet'!$E$9+1,1))</f>
        <v>737.40414421611001</v>
      </c>
      <c r="T101" s="59">
        <f t="shared" si="88"/>
        <v>245.32893490531674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377.28055430105911</v>
      </c>
      <c r="AO101" s="59">
        <f t="shared" si="90"/>
        <v>364.58250627635425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36.394712632035862</v>
      </c>
      <c r="AV101" s="21">
        <f>EXP(-LN(2)/25)*AV100+(1-EXP(-LN(2)/25))/(LN(2)/25)*Calculateur!AQ101*Calculateur!AS101*VLOOKUP('Données projet'!$B$10,Paramètres!$A$1:$I$89,3,0)*0.475*44/12</f>
        <v>31.158515432875213</v>
      </c>
      <c r="AW101" s="21">
        <f>EXP(-LN(2)/2)*AW100+(1-EXP(-LN(2)/2))/(LN(2)/2)*AQ101*AT101*VLOOKUP('Données projet'!$B$10,Paramètres!$A$1:$I$89,3,0)*0.475*44/12</f>
        <v>0.12191664297734603</v>
      </c>
      <c r="AX101" s="21">
        <f t="shared" si="60"/>
        <v>67.675144707888421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4.4337866711430253E-14</v>
      </c>
      <c r="BF101" s="13">
        <f t="shared" si="91"/>
        <v>7.3222115536967035E-13</v>
      </c>
      <c r="BG101" s="20">
        <f t="shared" si="61"/>
        <v>1.3525069634579169E-12</v>
      </c>
      <c r="BH101" s="59">
        <f t="shared" si="62"/>
        <v>276.83665893463274</v>
      </c>
      <c r="BI101" s="59">
        <f ca="1">AVERAGE(OFFSET($BH$3,0,0,'Données projet'!$E$11+1,1))-AVERAGE(OFFSET($H$3,0,0,'Données projet'!$E$11+1,1))</f>
        <v>308.85018589589453</v>
      </c>
      <c r="BJ101" s="59">
        <f t="shared" si="92"/>
        <v>302.59481222418219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24.211921717809474</v>
      </c>
      <c r="BQ101" s="21">
        <f>EXP(-LN(2)/25)*BQ100+(1-EXP(-LN(2)/25))/(LN(2)/25)*Calculateur!BL101*Calculateur!BN101*VLOOKUP('Données projet'!$B$11,Paramètres!$A$1:$I$89,3,0)*0.475*44/12</f>
        <v>18.94552460037497</v>
      </c>
      <c r="BR101" s="21">
        <f>EXP(-LN(2)/2)*BR100+(1-EXP(-LN(2)/2))/(LN(2)/2)*BL101*BO101*VLOOKUP('Données projet'!$B$11,Paramètres!$A$1:$I$89,3,0)*0.475*44/12</f>
        <v>2.6221310369234294E-3</v>
      </c>
      <c r="BS101" s="22">
        <f t="shared" si="63"/>
        <v>43.160068449221363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>
        <f>VLOOKUP(A101,'Données projet'!$A$139:$I$159,2,0)</f>
        <v>241</v>
      </c>
      <c r="CR101" s="12">
        <f>VLOOKUP(A101,'Données projet'!$A$139:$I$159,9,0)</f>
        <v>5.7</v>
      </c>
      <c r="CS101" s="12">
        <f t="array" ref="CS101">INDEX(CR:CR,MIN(IF(ISNUMBER(CR101:CR297),ROW(CR101:CR297),"")))</f>
        <v>5.7</v>
      </c>
      <c r="CT101" s="12">
        <f>IF('Données projet'!$A$140&gt;35,CT100+CS101-DB100,IF(A101&lt;'Données projet'!$A$140,$CQ$205^A101,IF(A101='Données projet'!$A$140,'Données projet'!$B$140,CT100+CS101-DB100)))</f>
        <v>240.99999999999994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8</v>
      </c>
      <c r="DB101" s="15">
        <f>IF(ISNA(VLOOKUP(A101,'Données projet'!$A$139:$I$159,4,0)),0,VLOOKUP(A101,'Données projet'!$A$139:$I$159,4,0))</f>
        <v>34</v>
      </c>
      <c r="DC101" s="16" t="e">
        <f>IF(ISNA(VLOOKUP(A101,'Données projet'!$A$139:$I$159,5,0)),0%,VLOOKUP(A101,'Données projet'!$A$139:$I$159,5,0)*VLOOKUP('Données projet'!$B$13,Paramètres!$A$1:$I$89,7,0))</f>
        <v>#N/A</v>
      </c>
      <c r="DD101" s="16" t="e">
        <f>IF(ISNA(VLOOKUP(A101,'Données projet'!$A$139:$I$159,6,0)),0%,VLOOKUP(A101,'Données projet'!$A$139:$I$159,6,0)*VLOOKUP('Données projet'!$B$13,Paramètres!$A$1:$I$89,7,0))</f>
        <v>#N/A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1251.557138530673</v>
      </c>
      <c r="S102" s="59">
        <f ca="1">AVERAGE(OFFSET($R$3,0,0,'Données projet'!$E$9+1,1))-AVERAGE(OFFSET($H$3,0,0,'Données projet'!$E$9+1,1))</f>
        <v>737.40414421611001</v>
      </c>
      <c r="T102" s="59">
        <f t="shared" si="88"/>
        <v>245.32893490531674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377.28055430105911</v>
      </c>
      <c r="AO102" s="59">
        <f t="shared" si="90"/>
        <v>364.58250627635425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35.681034515904415</v>
      </c>
      <c r="AV102" s="21">
        <f>EXP(-LN(2)/25)*AV101+(1-EXP(-LN(2)/25))/(LN(2)/25)*Calculateur!AQ102*Calculateur!AS102*VLOOKUP('Données projet'!$B$10,Paramètres!$A$1:$I$89,3,0)*0.475*44/12</f>
        <v>30.306484189808128</v>
      </c>
      <c r="AW102" s="21">
        <f>EXP(-LN(2)/2)*AW101+(1-EXP(-LN(2)/2))/(LN(2)/2)*AQ102*AT102*VLOOKUP('Données projet'!$B$10,Paramètres!$A$1:$I$89,3,0)*0.475*44/12</f>
        <v>8.6208084988780659E-2</v>
      </c>
      <c r="AX102" s="21">
        <f t="shared" si="60"/>
        <v>66.073726790701329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4.4337866711430253E-14</v>
      </c>
      <c r="BF102" s="13">
        <f t="shared" si="91"/>
        <v>7.3222115536967035E-13</v>
      </c>
      <c r="BG102" s="20">
        <f t="shared" si="61"/>
        <v>1.3525069634579169E-12</v>
      </c>
      <c r="BH102" s="59">
        <f t="shared" si="62"/>
        <v>277.1228393544115</v>
      </c>
      <c r="BI102" s="59">
        <f ca="1">AVERAGE(OFFSET($BH$3,0,0,'Données projet'!$E$11+1,1))-AVERAGE(OFFSET($H$3,0,0,'Données projet'!$E$11+1,1))</f>
        <v>308.85018589589453</v>
      </c>
      <c r="BJ102" s="59">
        <f t="shared" si="92"/>
        <v>302.59481222418219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23.737140700737278</v>
      </c>
      <c r="BQ102" s="21">
        <f>EXP(-LN(2)/25)*BQ101+(1-EXP(-LN(2)/25))/(LN(2)/25)*Calculateur!BL102*Calculateur!BN102*VLOOKUP('Données projet'!$B$11,Paramètres!$A$1:$I$89,3,0)*0.475*44/12</f>
        <v>18.427458233875878</v>
      </c>
      <c r="BR102" s="21">
        <f>EXP(-LN(2)/2)*BR101+(1-EXP(-LN(2)/2))/(LN(2)/2)*BL102*BO102*VLOOKUP('Données projet'!$B$11,Paramètres!$A$1:$I$89,3,0)*0.475*44/12</f>
        <v>1.8541266373682704E-3</v>
      </c>
      <c r="BS102" s="22">
        <f t="shared" si="63"/>
        <v>42.166453061250522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5.7</v>
      </c>
      <c r="CT102" s="12">
        <f>IF('Données projet'!$A$140&gt;35,CT101+CS102-DB101,IF(A102&lt;'Données projet'!$A$140,$CQ$205^A102,IF(A102='Données projet'!$A$140,'Données projet'!$B$140,CT101+CS102-DB101)))</f>
        <v>212.69999999999993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1273.1659033165117</v>
      </c>
      <c r="S103" s="59">
        <f ca="1">AVERAGE(OFFSET($R$3,0,0,'Données projet'!$E$9+1,1))-AVERAGE(OFFSET($H$3,0,0,'Données projet'!$E$9+1,1))</f>
        <v>737.40414421611001</v>
      </c>
      <c r="T103" s="59">
        <f t="shared" si="88"/>
        <v>245.32893490531674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377.28055430105911</v>
      </c>
      <c r="AO103" s="59">
        <f t="shared" si="90"/>
        <v>364.58250627635425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34.98135119232964</v>
      </c>
      <c r="AV103" s="21">
        <f>EXP(-LN(2)/25)*AV102+(1-EXP(-LN(2)/25))/(LN(2)/25)*Calculateur!AQ103*Calculateur!AS103*VLOOKUP('Données projet'!$B$10,Paramètres!$A$1:$I$89,3,0)*0.475*44/12</f>
        <v>29.477751785889087</v>
      </c>
      <c r="AW103" s="21">
        <f>EXP(-LN(2)/2)*AW102+(1-EXP(-LN(2)/2))/(LN(2)/2)*AQ103*AT103*VLOOKUP('Données projet'!$B$10,Paramètres!$A$1:$I$89,3,0)*0.475*44/12</f>
        <v>6.0958321488673022E-2</v>
      </c>
      <c r="AX103" s="21">
        <f t="shared" si="60"/>
        <v>64.520061299707393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4.4337866711430253E-14</v>
      </c>
      <c r="BF103" s="13">
        <f t="shared" si="91"/>
        <v>7.3222115536967035E-13</v>
      </c>
      <c r="BG103" s="20">
        <f t="shared" si="61"/>
        <v>1.3525069634579169E-12</v>
      </c>
      <c r="BH103" s="59">
        <f t="shared" si="62"/>
        <v>277.40405518371057</v>
      </c>
      <c r="BI103" s="59">
        <f ca="1">AVERAGE(OFFSET($BH$3,0,0,'Données projet'!$E$11+1,1))-AVERAGE(OFFSET($H$3,0,0,'Données projet'!$E$11+1,1))</f>
        <v>308.85018589589453</v>
      </c>
      <c r="BJ103" s="59">
        <f t="shared" si="92"/>
        <v>302.59481222418219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23.271669849822043</v>
      </c>
      <c r="BQ103" s="21">
        <f>EXP(-LN(2)/25)*BQ102+(1-EXP(-LN(2)/25))/(LN(2)/25)*Calculateur!BL103*Calculateur!BN103*VLOOKUP('Données projet'!$B$11,Paramètres!$A$1:$I$89,3,0)*0.475*44/12</f>
        <v>17.923558419412629</v>
      </c>
      <c r="BR103" s="21">
        <f>EXP(-LN(2)/2)*BR102+(1-EXP(-LN(2)/2))/(LN(2)/2)*BL103*BO103*VLOOKUP('Données projet'!$B$11,Paramètres!$A$1:$I$89,3,0)*0.475*44/12</f>
        <v>1.3110655184617147E-3</v>
      </c>
      <c r="BS103" s="22">
        <f t="shared" si="63"/>
        <v>41.19653933475314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5.7</v>
      </c>
      <c r="CT103" s="12">
        <f>IF('Données projet'!$A$140&gt;35,CT102+CS103-DB102,IF(A103&lt;'Données projet'!$A$140,$CQ$205^A103,IF(A103='Données projet'!$A$140,'Données projet'!$B$140,CT102+CS103-DB102)))</f>
        <v>218.39999999999992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1117.8586764250501</v>
      </c>
      <c r="S104" s="59">
        <f ca="1">AVERAGE(OFFSET($R$3,0,0,'Données projet'!$E$9+1,1))-AVERAGE(OFFSET($H$3,0,0,'Données projet'!$E$9+1,1))</f>
        <v>737.40414421611001</v>
      </c>
      <c r="T104" s="59">
        <f t="shared" si="88"/>
        <v>245.32893490531674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377.28055430105911</v>
      </c>
      <c r="AO104" s="59">
        <f t="shared" si="90"/>
        <v>364.58250627635425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34.295388231965475</v>
      </c>
      <c r="AV104" s="21">
        <f>EXP(-LN(2)/25)*AV103+(1-EXP(-LN(2)/25))/(LN(2)/25)*Calculateur!AQ104*Calculateur!AS104*VLOOKUP('Données projet'!$B$10,Paramètres!$A$1:$I$89,3,0)*0.475*44/12</f>
        <v>28.671681113136355</v>
      </c>
      <c r="AW104" s="21">
        <f>EXP(-LN(2)/2)*AW103+(1-EXP(-LN(2)/2))/(LN(2)/2)*AQ104*AT104*VLOOKUP('Données projet'!$B$10,Paramètres!$A$1:$I$89,3,0)*0.475*44/12</f>
        <v>4.3104042494390336E-2</v>
      </c>
      <c r="AX104" s="21">
        <f t="shared" si="60"/>
        <v>63.010173387596225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4.4337866711430253E-14</v>
      </c>
      <c r="BF104" s="13">
        <f t="shared" si="91"/>
        <v>7.3222115536967035E-13</v>
      </c>
      <c r="BG104" s="20">
        <f t="shared" si="61"/>
        <v>1.3525069634579169E-12</v>
      </c>
      <c r="BH104" s="59">
        <f t="shared" si="62"/>
        <v>277.68039254707577</v>
      </c>
      <c r="BI104" s="59">
        <f ca="1">AVERAGE(OFFSET($BH$3,0,0,'Données projet'!$E$11+1,1))-AVERAGE(OFFSET($H$3,0,0,'Données projet'!$E$11+1,1))</f>
        <v>308.85018589589453</v>
      </c>
      <c r="BJ104" s="59">
        <f t="shared" si="92"/>
        <v>302.59481222418219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22.815326598384068</v>
      </c>
      <c r="BQ104" s="21">
        <f>EXP(-LN(2)/25)*BQ103+(1-EXP(-LN(2)/25))/(LN(2)/25)*Calculateur!BL104*Calculateur!BN104*VLOOKUP('Données projet'!$B$11,Paramètres!$A$1:$I$89,3,0)*0.475*44/12</f>
        <v>17.433437771874818</v>
      </c>
      <c r="BR104" s="21">
        <f>EXP(-LN(2)/2)*BR103+(1-EXP(-LN(2)/2))/(LN(2)/2)*BL104*BO104*VLOOKUP('Données projet'!$B$11,Paramètres!$A$1:$I$89,3,0)*0.475*44/12</f>
        <v>9.2706331868413518E-4</v>
      </c>
      <c r="BS104" s="22">
        <f t="shared" si="63"/>
        <v>40.249691433577567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5.7</v>
      </c>
      <c r="CT104" s="12">
        <f>IF('Données projet'!$A$140&gt;35,CT103+CS104-DB103,IF(A104&lt;'Données projet'!$A$140,$CQ$205^A104,IF(A104='Données projet'!$A$140,'Données projet'!$B$140,CT103+CS104-DB103)))</f>
        <v>224.09999999999991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1138.6805534200319</v>
      </c>
      <c r="S105" s="59">
        <f ca="1">AVERAGE(OFFSET($R$3,0,0,'Données projet'!$E$9+1,1))-AVERAGE(OFFSET($H$3,0,0,'Données projet'!$E$9+1,1))</f>
        <v>737.40414421611001</v>
      </c>
      <c r="T105" s="59">
        <f t="shared" si="88"/>
        <v>245.32893490531674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377.28055430105911</v>
      </c>
      <c r="AO105" s="59">
        <f t="shared" si="90"/>
        <v>364.58250627635425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33.622876586857963</v>
      </c>
      <c r="AV105" s="21">
        <f>EXP(-LN(2)/25)*AV104+(1-EXP(-LN(2)/25))/(LN(2)/25)*Calculateur!AQ105*Calculateur!AS105*VLOOKUP('Données projet'!$B$10,Paramètres!$A$1:$I$89,3,0)*0.475*44/12</f>
        <v>27.88765248531946</v>
      </c>
      <c r="AW105" s="21">
        <f>EXP(-LN(2)/2)*AW104+(1-EXP(-LN(2)/2))/(LN(2)/2)*AQ105*AT105*VLOOKUP('Données projet'!$B$10,Paramètres!$A$1:$I$89,3,0)*0.475*44/12</f>
        <v>3.0479160744336514E-2</v>
      </c>
      <c r="AX105" s="21">
        <f t="shared" si="60"/>
        <v>61.541008232921754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4.4337866711430253E-14</v>
      </c>
      <c r="BF105" s="13">
        <f t="shared" si="91"/>
        <v>7.3222115536967035E-13</v>
      </c>
      <c r="BG105" s="20">
        <f t="shared" si="61"/>
        <v>1.3525069634579169E-12</v>
      </c>
      <c r="BH105" s="59">
        <f t="shared" si="62"/>
        <v>277.9519360749843</v>
      </c>
      <c r="BI105" s="59">
        <f ca="1">AVERAGE(OFFSET($BH$3,0,0,'Données projet'!$E$11+1,1))-AVERAGE(OFFSET($H$3,0,0,'Données projet'!$E$11+1,1))</f>
        <v>308.85018589589453</v>
      </c>
      <c r="BJ105" s="59">
        <f t="shared" si="92"/>
        <v>302.59481222418219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22.367931959764892</v>
      </c>
      <c r="BQ105" s="21">
        <f>EXP(-LN(2)/25)*BQ104+(1-EXP(-LN(2)/25))/(LN(2)/25)*Calculateur!BL105*Calculateur!BN105*VLOOKUP('Données projet'!$B$11,Paramètres!$A$1:$I$89,3,0)*0.475*44/12</f>
        <v>16.956719499218252</v>
      </c>
      <c r="BR105" s="21">
        <f>EXP(-LN(2)/2)*BR104+(1-EXP(-LN(2)/2))/(LN(2)/2)*BL105*BO105*VLOOKUP('Données projet'!$B$11,Paramètres!$A$1:$I$89,3,0)*0.475*44/12</f>
        <v>6.5553275923085734E-4</v>
      </c>
      <c r="BS105" s="22">
        <f t="shared" si="63"/>
        <v>39.325306991742373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5.7</v>
      </c>
      <c r="CT105" s="12">
        <f>IF('Données projet'!$A$140&gt;35,CT104+CS105-DB104,IF(A105&lt;'Données projet'!$A$140,$CQ$205^A105,IF(A105='Données projet'!$A$140,'Données projet'!$B$140,CT104+CS105-DB104)))</f>
        <v>229.7999999999999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1159.4878876407276</v>
      </c>
      <c r="S106" s="59">
        <f ca="1">AVERAGE(OFFSET($R$3,0,0,'Données projet'!$E$9+1,1))-AVERAGE(OFFSET($H$3,0,0,'Données projet'!$E$9+1,1))</f>
        <v>737.40414421611001</v>
      </c>
      <c r="T106" s="59">
        <f t="shared" si="88"/>
        <v>245.32893490531674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377.28055430105911</v>
      </c>
      <c r="AO106" s="59">
        <f t="shared" si="90"/>
        <v>364.58250627635425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32.963552484919404</v>
      </c>
      <c r="AV106" s="21">
        <f>EXP(-LN(2)/25)*AV105+(1-EXP(-LN(2)/25))/(LN(2)/25)*Calculateur!AQ106*Calculateur!AS106*VLOOKUP('Données projet'!$B$10,Paramètres!$A$1:$I$89,3,0)*0.475*44/12</f>
        <v>27.125063161560494</v>
      </c>
      <c r="AW106" s="21">
        <f>EXP(-LN(2)/2)*AW105+(1-EXP(-LN(2)/2))/(LN(2)/2)*AQ106*AT106*VLOOKUP('Données projet'!$B$10,Paramètres!$A$1:$I$89,3,0)*0.475*44/12</f>
        <v>2.1552021247195172E-2</v>
      </c>
      <c r="AX106" s="21">
        <f t="shared" si="60"/>
        <v>60.11016766772709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4.4337866711430253E-14</v>
      </c>
      <c r="BF106" s="13">
        <f t="shared" si="91"/>
        <v>7.3222115536967035E-13</v>
      </c>
      <c r="BG106" s="20">
        <f t="shared" si="61"/>
        <v>1.3525069634579169E-12</v>
      </c>
      <c r="BH106" s="59">
        <f t="shared" si="62"/>
        <v>278.21876892976405</v>
      </c>
      <c r="BI106" s="59">
        <f ca="1">AVERAGE(OFFSET($BH$3,0,0,'Données projet'!$E$11+1,1))-AVERAGE(OFFSET($H$3,0,0,'Données projet'!$E$11+1,1))</f>
        <v>308.85018589589453</v>
      </c>
      <c r="BJ106" s="59">
        <f t="shared" si="92"/>
        <v>302.59481222418219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21.929310457125254</v>
      </c>
      <c r="BQ106" s="21">
        <f>EXP(-LN(2)/25)*BQ105+(1-EXP(-LN(2)/25))/(LN(2)/25)*Calculateur!BL106*Calculateur!BN106*VLOOKUP('Données projet'!$B$11,Paramètres!$A$1:$I$89,3,0)*0.475*44/12</f>
        <v>16.493037112797005</v>
      </c>
      <c r="BR106" s="21">
        <f>EXP(-LN(2)/2)*BR105+(1-EXP(-LN(2)/2))/(LN(2)/2)*BL106*BO106*VLOOKUP('Données projet'!$B$11,Paramètres!$A$1:$I$89,3,0)*0.475*44/12</f>
        <v>4.6353165934206759E-4</v>
      </c>
      <c r="BS106" s="22">
        <f t="shared" si="63"/>
        <v>38.422811101581601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5.7</v>
      </c>
      <c r="CT106" s="12">
        <f>IF('Données projet'!$A$140&gt;35,CT105+CS106-DB105,IF(A106&lt;'Données projet'!$A$140,$CQ$205^A106,IF(A106='Données projet'!$A$140,'Données projet'!$B$140,CT105+CS106-DB105)))</f>
        <v>235.49999999999989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1180.2810219382718</v>
      </c>
      <c r="S107" s="59">
        <f ca="1">AVERAGE(OFFSET($R$3,0,0,'Données projet'!$E$9+1,1))-AVERAGE(OFFSET($H$3,0,0,'Données projet'!$E$9+1,1))</f>
        <v>737.40414421611001</v>
      </c>
      <c r="T107" s="59">
        <f t="shared" si="88"/>
        <v>245.32893490531674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377.28055430105911</v>
      </c>
      <c r="AO107" s="59">
        <f t="shared" si="90"/>
        <v>364.58250627635425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32.317157326471872</v>
      </c>
      <c r="AV107" s="21">
        <f>EXP(-LN(2)/25)*AV106+(1-EXP(-LN(2)/25))/(LN(2)/25)*Calculateur!AQ107*Calculateur!AS107*VLOOKUP('Données projet'!$B$10,Paramètres!$A$1:$I$89,3,0)*0.475*44/12</f>
        <v>26.383326882962546</v>
      </c>
      <c r="AW107" s="21">
        <f>EXP(-LN(2)/2)*AW106+(1-EXP(-LN(2)/2))/(LN(2)/2)*AQ107*AT107*VLOOKUP('Données projet'!$B$10,Paramètres!$A$1:$I$89,3,0)*0.475*44/12</f>
        <v>1.5239580372168261E-2</v>
      </c>
      <c r="AX107" s="21">
        <f t="shared" si="60"/>
        <v>58.715723789806589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4.4337866711430253E-14</v>
      </c>
      <c r="BF107" s="13">
        <f t="shared" si="91"/>
        <v>7.3222115536967035E-13</v>
      </c>
      <c r="BG107" s="20">
        <f t="shared" si="61"/>
        <v>1.3525069634579169E-12</v>
      </c>
      <c r="BH107" s="59">
        <f t="shared" si="62"/>
        <v>278.48097283106227</v>
      </c>
      <c r="BI107" s="59">
        <f ca="1">AVERAGE(OFFSET($BH$3,0,0,'Données projet'!$E$11+1,1))-AVERAGE(OFFSET($H$3,0,0,'Données projet'!$E$11+1,1))</f>
        <v>308.85018589589453</v>
      </c>
      <c r="BJ107" s="59">
        <f t="shared" si="92"/>
        <v>302.59481222418219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21.499290054619681</v>
      </c>
      <c r="BQ107" s="21">
        <f>EXP(-LN(2)/25)*BQ106+(1-EXP(-LN(2)/25))/(LN(2)/25)*Calculateur!BL107*Calculateur!BN107*VLOOKUP('Données projet'!$B$11,Paramètres!$A$1:$I$89,3,0)*0.475*44/12</f>
        <v>16.042034145616444</v>
      </c>
      <c r="BR107" s="21">
        <f>EXP(-LN(2)/2)*BR106+(1-EXP(-LN(2)/2))/(LN(2)/2)*BL107*BO107*VLOOKUP('Données projet'!$B$11,Paramètres!$A$1:$I$89,3,0)*0.475*44/12</f>
        <v>3.2776637961542867E-4</v>
      </c>
      <c r="BS107" s="22">
        <f t="shared" si="63"/>
        <v>37.541651966615738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5.7</v>
      </c>
      <c r="CT107" s="12">
        <f>IF('Données projet'!$A$140&gt;35,CT106+CS107-DB106,IF(A107&lt;'Données projet'!$A$140,$CQ$205^A107,IF(A107='Données projet'!$A$140,'Données projet'!$B$140,CT106+CS107-DB106)))</f>
        <v>241.19999999999987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1201.060284902863</v>
      </c>
      <c r="S108" s="59">
        <f ca="1">AVERAGE(OFFSET($R$3,0,0,'Données projet'!$E$9+1,1))-AVERAGE(OFFSET($H$3,0,0,'Données projet'!$E$9+1,1))</f>
        <v>737.40414421611001</v>
      </c>
      <c r="T108" s="59">
        <f t="shared" si="88"/>
        <v>245.32893490531674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377.28055430105911</v>
      </c>
      <c r="AO108" s="59">
        <f t="shared" si="90"/>
        <v>364.58250627635425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31.683437582819376</v>
      </c>
      <c r="AV108" s="21">
        <f>EXP(-LN(2)/25)*AV107+(1-EXP(-LN(2)/25))/(LN(2)/25)*Calculateur!AQ108*Calculateur!AS108*VLOOKUP('Données projet'!$B$10,Paramètres!$A$1:$I$89,3,0)*0.475*44/12</f>
        <v>25.661873421909075</v>
      </c>
      <c r="AW108" s="21">
        <f>EXP(-LN(2)/2)*AW107+(1-EXP(-LN(2)/2))/(LN(2)/2)*AQ108*AT108*VLOOKUP('Données projet'!$B$10,Paramètres!$A$1:$I$89,3,0)*0.475*44/12</f>
        <v>1.0776010623597588E-2</v>
      </c>
      <c r="AX108" s="21">
        <f t="shared" si="60"/>
        <v>57.356087015352045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4.4337866711430253E-14</v>
      </c>
      <c r="BF108" s="13">
        <f t="shared" si="91"/>
        <v>7.3222115536967035E-13</v>
      </c>
      <c r="BG108" s="20">
        <f t="shared" si="61"/>
        <v>1.3525069634579169E-12</v>
      </c>
      <c r="BH108" s="59">
        <f t="shared" si="62"/>
        <v>278.73862808087313</v>
      </c>
      <c r="BI108" s="59">
        <f ca="1">AVERAGE(OFFSET($BH$3,0,0,'Données projet'!$E$11+1,1))-AVERAGE(OFFSET($H$3,0,0,'Données projet'!$E$11+1,1))</f>
        <v>308.85018589589453</v>
      </c>
      <c r="BJ108" s="59">
        <f t="shared" si="92"/>
        <v>302.59481222418219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21.077702089920695</v>
      </c>
      <c r="BQ108" s="21">
        <f>EXP(-LN(2)/25)*BQ107+(1-EXP(-LN(2)/25))/(LN(2)/25)*Calculateur!BL108*Calculateur!BN108*VLOOKUP('Données projet'!$B$11,Paramètres!$A$1:$I$89,3,0)*0.475*44/12</f>
        <v>15.603363878290651</v>
      </c>
      <c r="BR108" s="21">
        <f>EXP(-LN(2)/2)*BR107+(1-EXP(-LN(2)/2))/(LN(2)/2)*BL108*BO108*VLOOKUP('Données projet'!$B$11,Paramètres!$A$1:$I$89,3,0)*0.475*44/12</f>
        <v>2.3176582967103379E-4</v>
      </c>
      <c r="BS108" s="22">
        <f t="shared" si="63"/>
        <v>36.68129773404101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5.7</v>
      </c>
      <c r="CT108" s="12">
        <f>IF('Données projet'!$A$140&gt;35,CT107+CS108-DB107,IF(A108&lt;'Données projet'!$A$140,$CQ$205^A108,IF(A108='Données projet'!$A$140,'Données projet'!$B$140,CT107+CS108-DB107)))</f>
        <v>246.89999999999986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1221.8259917974467</v>
      </c>
      <c r="S109" s="59">
        <f ca="1">AVERAGE(OFFSET($R$3,0,0,'Données projet'!$E$9+1,1))-AVERAGE(OFFSET($H$3,0,0,'Données projet'!$E$9+1,1))</f>
        <v>737.40414421611001</v>
      </c>
      <c r="T109" s="59">
        <f t="shared" si="88"/>
        <v>245.32893490531674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377.28055430105911</v>
      </c>
      <c r="AO109" s="59">
        <f t="shared" si="90"/>
        <v>364.58250627635425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31.062144696809028</v>
      </c>
      <c r="AV109" s="21">
        <f>EXP(-LN(2)/25)*AV108+(1-EXP(-LN(2)/25))/(LN(2)/25)*Calculateur!AQ109*Calculateur!AS109*VLOOKUP('Données projet'!$B$10,Paramètres!$A$1:$I$89,3,0)*0.475*44/12</f>
        <v>24.9601481436877</v>
      </c>
      <c r="AW109" s="21">
        <f>EXP(-LN(2)/2)*AW108+(1-EXP(-LN(2)/2))/(LN(2)/2)*AQ109*AT109*VLOOKUP('Données projet'!$B$10,Paramètres!$A$1:$I$89,3,0)*0.475*44/12</f>
        <v>7.6197901860841312E-3</v>
      </c>
      <c r="AX109" s="21">
        <f t="shared" si="60"/>
        <v>56.029912630682816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4.4337866711430253E-14</v>
      </c>
      <c r="BF109" s="13">
        <f t="shared" si="91"/>
        <v>7.3222115536967035E-13</v>
      </c>
      <c r="BG109" s="20">
        <f t="shared" si="61"/>
        <v>1.3525069634579169E-12</v>
      </c>
      <c r="BH109" s="59">
        <f t="shared" si="62"/>
        <v>278.99181358813047</v>
      </c>
      <c r="BI109" s="59">
        <f ca="1">AVERAGE(OFFSET($BH$3,0,0,'Données projet'!$E$11+1,1))-AVERAGE(OFFSET($H$3,0,0,'Données projet'!$E$11+1,1))</f>
        <v>308.85018589589453</v>
      </c>
      <c r="BJ109" s="59">
        <f t="shared" si="92"/>
        <v>302.59481222418219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20.664381208066189</v>
      </c>
      <c r="BQ109" s="21">
        <f>EXP(-LN(2)/25)*BQ108+(1-EXP(-LN(2)/25))/(LN(2)/25)*Calculateur!BL109*Calculateur!BN109*VLOOKUP('Données projet'!$B$11,Paramètres!$A$1:$I$89,3,0)*0.475*44/12</f>
        <v>15.176689072493549</v>
      </c>
      <c r="BR109" s="21">
        <f>EXP(-LN(2)/2)*BR108+(1-EXP(-LN(2)/2))/(LN(2)/2)*BL109*BO109*VLOOKUP('Données projet'!$B$11,Paramètres!$A$1:$I$89,3,0)*0.475*44/12</f>
        <v>1.6388318980771433E-4</v>
      </c>
      <c r="BS109" s="22">
        <f t="shared" si="63"/>
        <v>35.84123416374954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5.7</v>
      </c>
      <c r="CT109" s="12">
        <f>IF('Données projet'!$A$140&gt;35,CT108+CS109-DB108,IF(A109&lt;'Données projet'!$A$140,$CQ$205^A109,IF(A109='Données projet'!$A$140,'Données projet'!$B$140,CT108+CS109-DB108)))</f>
        <v>252.59999999999985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1242.5784454078548</v>
      </c>
      <c r="S110" s="59">
        <f ca="1">AVERAGE(OFFSET($R$3,0,0,'Données projet'!$E$9+1,1))-AVERAGE(OFFSET($H$3,0,0,'Données projet'!$E$9+1,1))</f>
        <v>737.40414421611001</v>
      </c>
      <c r="T110" s="59">
        <f t="shared" si="88"/>
        <v>245.32893490531674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377.28055430105911</v>
      </c>
      <c r="AO110" s="59">
        <f t="shared" si="90"/>
        <v>364.58250627635425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30.453034985342104</v>
      </c>
      <c r="AV110" s="21">
        <f>EXP(-LN(2)/25)*AV109+(1-EXP(-LN(2)/25))/(LN(2)/25)*Calculateur!AQ110*Calculateur!AS110*VLOOKUP('Données projet'!$B$10,Paramètres!$A$1:$I$89,3,0)*0.475*44/12</f>
        <v>24.277611580101418</v>
      </c>
      <c r="AW110" s="21">
        <f>EXP(-LN(2)/2)*AW109+(1-EXP(-LN(2)/2))/(LN(2)/2)*AQ110*AT110*VLOOKUP('Données projet'!$B$10,Paramètres!$A$1:$I$89,3,0)*0.475*44/12</f>
        <v>5.3880053117987946E-3</v>
      </c>
      <c r="AX110" s="21">
        <f t="shared" si="60"/>
        <v>54.736034570755322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4.4337866711430253E-14</v>
      </c>
      <c r="BF110" s="13">
        <f t="shared" si="91"/>
        <v>7.3222115536967035E-13</v>
      </c>
      <c r="BG110" s="20">
        <f t="shared" si="61"/>
        <v>1.3525069634579169E-12</v>
      </c>
      <c r="BH110" s="59">
        <f t="shared" si="62"/>
        <v>279.24060689287501</v>
      </c>
      <c r="BI110" s="59">
        <f ca="1">AVERAGE(OFFSET($BH$3,0,0,'Données projet'!$E$11+1,1))-AVERAGE(OFFSET($H$3,0,0,'Données projet'!$E$11+1,1))</f>
        <v>308.85018589589453</v>
      </c>
      <c r="BJ110" s="59">
        <f t="shared" si="92"/>
        <v>302.59481222418219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20.259165296604003</v>
      </c>
      <c r="BQ110" s="21">
        <f>EXP(-LN(2)/25)*BQ109+(1-EXP(-LN(2)/25))/(LN(2)/25)*Calculateur!BL110*Calculateur!BN110*VLOOKUP('Données projet'!$B$11,Paramètres!$A$1:$I$89,3,0)*0.475*44/12</f>
        <v>14.76168171169882</v>
      </c>
      <c r="BR110" s="21">
        <f>EXP(-LN(2)/2)*BR109+(1-EXP(-LN(2)/2))/(LN(2)/2)*BL110*BO110*VLOOKUP('Données projet'!$B$11,Paramètres!$A$1:$I$89,3,0)*0.475*44/12</f>
        <v>1.158829148355169E-4</v>
      </c>
      <c r="BS110" s="22">
        <f t="shared" si="63"/>
        <v>35.020962891217657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5.7</v>
      </c>
      <c r="CT110" s="12">
        <f>IF('Données projet'!$A$140&gt;35,CT109+CS110-DB109,IF(A110&lt;'Données projet'!$A$140,$CQ$205^A110,IF(A110='Données projet'!$A$140,'Données projet'!$B$140,CT109+CS110-DB109)))</f>
        <v>258.29999999999984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1263.3179368186511</v>
      </c>
      <c r="S111" s="59">
        <f ca="1">AVERAGE(OFFSET($R$3,0,0,'Données projet'!$E$9+1,1))-AVERAGE(OFFSET($H$3,0,0,'Données projet'!$E$9+1,1))</f>
        <v>737.40414421611001</v>
      </c>
      <c r="T111" s="59">
        <f t="shared" si="88"/>
        <v>245.32893490531674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377.28055430105911</v>
      </c>
      <c r="AO111" s="59">
        <f t="shared" si="90"/>
        <v>364.58250627635425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29.855869543796803</v>
      </c>
      <c r="AV111" s="21">
        <f>EXP(-LN(2)/25)*AV110+(1-EXP(-LN(2)/25))/(LN(2)/25)*Calculateur!AQ111*Calculateur!AS111*VLOOKUP('Données projet'!$B$10,Paramètres!$A$1:$I$89,3,0)*0.475*44/12</f>
        <v>23.613739014739437</v>
      </c>
      <c r="AW111" s="21">
        <f>EXP(-LN(2)/2)*AW110+(1-EXP(-LN(2)/2))/(LN(2)/2)*AQ111*AT111*VLOOKUP('Données projet'!$B$10,Paramètres!$A$1:$I$89,3,0)*0.475*44/12</f>
        <v>3.8098950930420664E-3</v>
      </c>
      <c r="AX111" s="21">
        <f t="shared" si="60"/>
        <v>53.473418453629279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4.4337866711430253E-14</v>
      </c>
      <c r="BF111" s="13">
        <f t="shared" si="91"/>
        <v>7.3222115536967035E-13</v>
      </c>
      <c r="BG111" s="20">
        <f t="shared" si="61"/>
        <v>1.3525069634579169E-12</v>
      </c>
      <c r="BH111" s="59">
        <f t="shared" si="62"/>
        <v>279.48508419000069</v>
      </c>
      <c r="BI111" s="59">
        <f ca="1">AVERAGE(OFFSET($BH$3,0,0,'Données projet'!$E$11+1,1))-AVERAGE(OFFSET($H$3,0,0,'Données projet'!$E$11+1,1))</f>
        <v>308.85018589589453</v>
      </c>
      <c r="BJ111" s="59">
        <f t="shared" si="92"/>
        <v>302.59481222418219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19.861895422008288</v>
      </c>
      <c r="BQ111" s="21">
        <f>EXP(-LN(2)/25)*BQ110+(1-EXP(-LN(2)/25))/(LN(2)/25)*Calculateur!BL111*Calculateur!BN111*VLOOKUP('Données projet'!$B$11,Paramètres!$A$1:$I$89,3,0)*0.475*44/12</f>
        <v>14.358022749009313</v>
      </c>
      <c r="BR111" s="21">
        <f>EXP(-LN(2)/2)*BR110+(1-EXP(-LN(2)/2))/(LN(2)/2)*BL111*BO111*VLOOKUP('Données projet'!$B$11,Paramètres!$A$1:$I$89,3,0)*0.475*44/12</f>
        <v>8.1941594903857167E-5</v>
      </c>
      <c r="BS111" s="22">
        <f t="shared" si="63"/>
        <v>34.22000011261251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>
        <f>VLOOKUP(A111,'Données projet'!$A$139:$I$159,2,0)</f>
        <v>264</v>
      </c>
      <c r="CR111" s="12">
        <f>VLOOKUP(A111,'Données projet'!$A$139:$I$159,9,0)</f>
        <v>5.7</v>
      </c>
      <c r="CS111" s="12">
        <f t="array" ref="CS111">INDEX(CR:CR,MIN(IF(ISNUMBER(CR111:CR307),ROW(CR111:CR307),"")))</f>
        <v>5.7</v>
      </c>
      <c r="CT111" s="12">
        <f>IF('Données projet'!$A$140&gt;35,CT110+CS111-DB110,IF(A111&lt;'Données projet'!$A$140,$CQ$205^A111,IF(A111='Données projet'!$A$140,'Données projet'!$B$140,CT110+CS111-DB110)))</f>
        <v>263.99999999999983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9</v>
      </c>
      <c r="DB111" s="15">
        <f>IF(ISNA(VLOOKUP(A111,'Données projet'!$A$139:$I$159,4,0)),0,VLOOKUP(A111,'Données projet'!$A$139:$I$159,4,0))</f>
        <v>39</v>
      </c>
      <c r="DC111" s="16" t="e">
        <f>IF(ISNA(VLOOKUP(A111,'Données projet'!$A$139:$I$159,5,0)),0%,VLOOKUP(A111,'Données projet'!$A$139:$I$159,5,0)*VLOOKUP('Données projet'!$B$13,Paramètres!$A$1:$I$89,7,0))</f>
        <v>#N/A</v>
      </c>
      <c r="DD111" s="16" t="e">
        <f>IF(ISNA(VLOOKUP(A111,'Données projet'!$A$139:$I$159,6,0)),0%,VLOOKUP(A111,'Données projet'!$A$139:$I$159,6,0)*VLOOKUP('Données projet'!$B$13,Paramètres!$A$1:$I$89,7,0))</f>
        <v>#N/A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1284.0447461227295</v>
      </c>
      <c r="S112" s="59">
        <f ca="1">AVERAGE(OFFSET($R$3,0,0,'Données projet'!$E$9+1,1))-AVERAGE(OFFSET($H$3,0,0,'Données projet'!$E$9+1,1))</f>
        <v>737.40414421611001</v>
      </c>
      <c r="T112" s="59">
        <f t="shared" si="88"/>
        <v>245.32893490531674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377.28055430105911</v>
      </c>
      <c r="AO112" s="59">
        <f t="shared" si="90"/>
        <v>364.58250627635425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29.270414152325255</v>
      </c>
      <c r="AV112" s="21">
        <f>EXP(-LN(2)/25)*AV111+(1-EXP(-LN(2)/25))/(LN(2)/25)*Calculateur!AQ112*Calculateur!AS112*VLOOKUP('Données projet'!$B$10,Paramètres!$A$1:$I$89,3,0)*0.475*44/12</f>
        <v>22.968020079588822</v>
      </c>
      <c r="AW112" s="21">
        <f>EXP(-LN(2)/2)*AW111+(1-EXP(-LN(2)/2))/(LN(2)/2)*AQ112*AT112*VLOOKUP('Données projet'!$B$10,Paramètres!$A$1:$I$89,3,0)*0.475*44/12</f>
        <v>2.6940026558993978E-3</v>
      </c>
      <c r="AX112" s="21">
        <f t="shared" si="60"/>
        <v>52.241128234569977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4.4337866711430253E-14</v>
      </c>
      <c r="BF112" s="13">
        <f t="shared" si="91"/>
        <v>7.3222115536967035E-13</v>
      </c>
      <c r="BG112" s="20">
        <f t="shared" si="61"/>
        <v>1.3525069634579169E-12</v>
      </c>
      <c r="BH112" s="59">
        <f t="shared" si="62"/>
        <v>279.72532035259064</v>
      </c>
      <c r="BI112" s="59">
        <f ca="1">AVERAGE(OFFSET($BH$3,0,0,'Données projet'!$E$11+1,1))-AVERAGE(OFFSET($H$3,0,0,'Données projet'!$E$11+1,1))</f>
        <v>308.85018589589453</v>
      </c>
      <c r="BJ112" s="59">
        <f t="shared" si="92"/>
        <v>302.59481222418219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19.472415767342699</v>
      </c>
      <c r="BQ112" s="21">
        <f>EXP(-LN(2)/25)*BQ111+(1-EXP(-LN(2)/25))/(LN(2)/25)*Calculateur!BL112*Calculateur!BN112*VLOOKUP('Données projet'!$B$11,Paramètres!$A$1:$I$89,3,0)*0.475*44/12</f>
        <v>13.965401861882054</v>
      </c>
      <c r="BR112" s="21">
        <f>EXP(-LN(2)/2)*BR111+(1-EXP(-LN(2)/2))/(LN(2)/2)*BL112*BO112*VLOOKUP('Données projet'!$B$11,Paramètres!$A$1:$I$89,3,0)*0.475*44/12</f>
        <v>5.7941457417758449E-5</v>
      </c>
      <c r="BS112" s="22">
        <f t="shared" si="63"/>
        <v>33.437875570682174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5.6</v>
      </c>
      <c r="CT112" s="12">
        <f>IF('Données projet'!$A$140&gt;35,CT111+CS112-DB111,IF(A112&lt;'Données projet'!$A$140,$CQ$205^A112,IF(A112='Données projet'!$A$140,'Données projet'!$B$140,CT111+CS112-DB111)))</f>
        <v>230.59999999999985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1304.759143071685</v>
      </c>
      <c r="S113" s="59">
        <f ca="1">AVERAGE(OFFSET($R$3,0,0,'Données projet'!$E$9+1,1))-AVERAGE(OFFSET($H$3,0,0,'Données projet'!$E$9+1,1))</f>
        <v>737.40414421611001</v>
      </c>
      <c r="T113" s="59">
        <f t="shared" si="88"/>
        <v>245.32893490531674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377.28055430105911</v>
      </c>
      <c r="AO113" s="59">
        <f t="shared" si="90"/>
        <v>364.58250627635425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28.696439183987934</v>
      </c>
      <c r="AV113" s="21">
        <f>EXP(-LN(2)/25)*AV112+(1-EXP(-LN(2)/25))/(LN(2)/25)*Calculateur!AQ113*Calculateur!AS113*VLOOKUP('Données projet'!$B$10,Paramètres!$A$1:$I$89,3,0)*0.475*44/12</f>
        <v>22.339958362676782</v>
      </c>
      <c r="AW113" s="21">
        <f>EXP(-LN(2)/2)*AW112+(1-EXP(-LN(2)/2))/(LN(2)/2)*AQ113*AT113*VLOOKUP('Données projet'!$B$10,Paramètres!$A$1:$I$89,3,0)*0.475*44/12</f>
        <v>1.9049475465210334E-3</v>
      </c>
      <c r="AX113" s="21">
        <f t="shared" si="60"/>
        <v>51.038302494211237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4.4337866711430253E-14</v>
      </c>
      <c r="BF113" s="13">
        <f t="shared" si="91"/>
        <v>7.3222115536967035E-13</v>
      </c>
      <c r="BG113" s="20">
        <f t="shared" si="61"/>
        <v>1.3525069634579169E-12</v>
      </c>
      <c r="BH113" s="59">
        <f t="shared" si="62"/>
        <v>279.96138895484722</v>
      </c>
      <c r="BI113" s="59">
        <f ca="1">AVERAGE(OFFSET($BH$3,0,0,'Données projet'!$E$11+1,1))-AVERAGE(OFFSET($H$3,0,0,'Données projet'!$E$11+1,1))</f>
        <v>308.85018589589453</v>
      </c>
      <c r="BJ113" s="59">
        <f t="shared" si="92"/>
        <v>302.59481222418219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19.090573571145971</v>
      </c>
      <c r="BQ113" s="21">
        <f>EXP(-LN(2)/25)*BQ112+(1-EXP(-LN(2)/25))/(LN(2)/25)*Calculateur!BL113*Calculateur!BN113*VLOOKUP('Données projet'!$B$11,Paramètres!$A$1:$I$89,3,0)*0.475*44/12</f>
        <v>13.583517213560324</v>
      </c>
      <c r="BR113" s="21">
        <f>EXP(-LN(2)/2)*BR112+(1-EXP(-LN(2)/2))/(LN(2)/2)*BL113*BO113*VLOOKUP('Données projet'!$B$11,Paramètres!$A$1:$I$89,3,0)*0.475*44/12</f>
        <v>4.0970797451928584E-5</v>
      </c>
      <c r="BS113" s="22">
        <f t="shared" si="63"/>
        <v>32.674131755503744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5.6</v>
      </c>
      <c r="CT113" s="12">
        <f>IF('Données projet'!$A$140&gt;35,CT112+CS113-DB112,IF(A113&lt;'Données projet'!$A$140,$CQ$205^A113,IF(A113='Données projet'!$A$140,'Données projet'!$B$140,CT112+CS113-DB112)))</f>
        <v>236.19999999999985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1186.6736268172033</v>
      </c>
      <c r="S114" s="59">
        <f ca="1">AVERAGE(OFFSET($R$3,0,0,'Données projet'!$E$9+1,1))-AVERAGE(OFFSET($H$3,0,0,'Données projet'!$E$9+1,1))</f>
        <v>737.40414421611001</v>
      </c>
      <c r="T114" s="59">
        <f t="shared" si="88"/>
        <v>245.32893490531674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377.28055430105911</v>
      </c>
      <c r="AO114" s="59">
        <f t="shared" si="90"/>
        <v>364.58250627635425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28.133719514689545</v>
      </c>
      <c r="AV114" s="21">
        <f>EXP(-LN(2)/25)*AV113+(1-EXP(-LN(2)/25))/(LN(2)/25)*Calculateur!AQ114*Calculateur!AS114*VLOOKUP('Données projet'!$B$10,Paramètres!$A$1:$I$89,3,0)*0.475*44/12</f>
        <v>21.729071026442035</v>
      </c>
      <c r="AW114" s="21">
        <f>EXP(-LN(2)/2)*AW113+(1-EXP(-LN(2)/2))/(LN(2)/2)*AQ114*AT114*VLOOKUP('Données projet'!$B$10,Paramètres!$A$1:$I$89,3,0)*0.475*44/12</f>
        <v>1.3470013279496991E-3</v>
      </c>
      <c r="AX114" s="21">
        <f t="shared" si="60"/>
        <v>49.864137542459531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4.4337866711430253E-14</v>
      </c>
      <c r="BF114" s="13">
        <f t="shared" si="91"/>
        <v>7.3222115536967035E-13</v>
      </c>
      <c r="BG114" s="20">
        <f t="shared" si="61"/>
        <v>1.3525069634579169E-12</v>
      </c>
      <c r="BH114" s="59">
        <f t="shared" si="62"/>
        <v>280.19336229462493</v>
      </c>
      <c r="BI114" s="59">
        <f ca="1">AVERAGE(OFFSET($BH$3,0,0,'Données projet'!$E$11+1,1))-AVERAGE(OFFSET($H$3,0,0,'Données projet'!$E$11+1,1))</f>
        <v>308.85018589589453</v>
      </c>
      <c r="BJ114" s="59">
        <f t="shared" si="92"/>
        <v>302.59481222418219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18.716219067515919</v>
      </c>
      <c r="BQ114" s="21">
        <f>EXP(-LN(2)/25)*BQ113+(1-EXP(-LN(2)/25))/(LN(2)/25)*Calculateur!BL114*Calculateur!BN114*VLOOKUP('Données projet'!$B$11,Paramètres!$A$1:$I$89,3,0)*0.475*44/12</f>
        <v>13.212075221029393</v>
      </c>
      <c r="BR114" s="21">
        <f>EXP(-LN(2)/2)*BR113+(1-EXP(-LN(2)/2))/(LN(2)/2)*BL114*BO114*VLOOKUP('Données projet'!$B$11,Paramètres!$A$1:$I$89,3,0)*0.475*44/12</f>
        <v>2.8970728708879224E-5</v>
      </c>
      <c r="BS114" s="22">
        <f t="shared" si="63"/>
        <v>31.92832325927402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5.6</v>
      </c>
      <c r="CT114" s="12">
        <f>IF('Données projet'!$A$140&gt;35,CT113+CS114-DB113,IF(A114&lt;'Données projet'!$A$140,$CQ$205^A114,IF(A114='Données projet'!$A$140,'Données projet'!$B$140,CT113+CS114-DB113)))</f>
        <v>241.79999999999984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1207.2034706741829</v>
      </c>
      <c r="S115" s="59">
        <f ca="1">AVERAGE(OFFSET($R$3,0,0,'Données projet'!$E$9+1,1))-AVERAGE(OFFSET($H$3,0,0,'Données projet'!$E$9+1,1))</f>
        <v>737.40414421611001</v>
      </c>
      <c r="T115" s="59">
        <f t="shared" si="88"/>
        <v>245.32893490531674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377.28055430105911</v>
      </c>
      <c r="AO115" s="59">
        <f t="shared" si="90"/>
        <v>364.58250627635425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27.582034434880992</v>
      </c>
      <c r="AV115" s="21">
        <f>EXP(-LN(2)/25)*AV114+(1-EXP(-LN(2)/25))/(LN(2)/25)*Calculateur!AQ115*Calculateur!AS115*VLOOKUP('Données projet'!$B$10,Paramètres!$A$1:$I$89,3,0)*0.475*44/12</f>
        <v>21.134888436541797</v>
      </c>
      <c r="AW115" s="21">
        <f>EXP(-LN(2)/2)*AW114+(1-EXP(-LN(2)/2))/(LN(2)/2)*AQ115*AT115*VLOOKUP('Données projet'!$B$10,Paramètres!$A$1:$I$89,3,0)*0.475*44/12</f>
        <v>9.5247377326051694E-4</v>
      </c>
      <c r="AX115" s="21">
        <f t="shared" si="60"/>
        <v>48.717875345196049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4.4337866711430253E-14</v>
      </c>
      <c r="BF115" s="13">
        <f t="shared" si="91"/>
        <v>7.3222115536967035E-13</v>
      </c>
      <c r="BG115" s="20">
        <f t="shared" si="61"/>
        <v>1.3525069634579169E-12</v>
      </c>
      <c r="BH115" s="59">
        <f t="shared" si="62"/>
        <v>280.42131141557223</v>
      </c>
      <c r="BI115" s="59">
        <f ca="1">AVERAGE(OFFSET($BH$3,0,0,'Données projet'!$E$11+1,1))-AVERAGE(OFFSET($H$3,0,0,'Données projet'!$E$11+1,1))</f>
        <v>308.85018589589453</v>
      </c>
      <c r="BJ115" s="59">
        <f t="shared" si="92"/>
        <v>302.59481222418219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18.34920542736835</v>
      </c>
      <c r="BQ115" s="21">
        <f>EXP(-LN(2)/25)*BQ114+(1-EXP(-LN(2)/25))/(LN(2)/25)*Calculateur!BL115*Calculateur!BN115*VLOOKUP('Données projet'!$B$11,Paramètres!$A$1:$I$89,3,0)*0.475*44/12</f>
        <v>12.850790329317505</v>
      </c>
      <c r="BR115" s="21">
        <f>EXP(-LN(2)/2)*BR114+(1-EXP(-LN(2)/2))/(LN(2)/2)*BL115*BO115*VLOOKUP('Données projet'!$B$11,Paramètres!$A$1:$I$89,3,0)*0.475*44/12</f>
        <v>2.0485398725964292E-5</v>
      </c>
      <c r="BS115" s="22">
        <f t="shared" si="63"/>
        <v>31.20001624208458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5.6</v>
      </c>
      <c r="CT115" s="12">
        <f>IF('Données projet'!$A$140&gt;35,CT114+CS115-DB114,IF(A115&lt;'Données projet'!$A$140,$CQ$205^A115,IF(A115='Données projet'!$A$140,'Données projet'!$B$140,CT114+CS115-DB114)))</f>
        <v>247.39999999999984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1227.7205144027616</v>
      </c>
      <c r="S116" s="59">
        <f ca="1">AVERAGE(OFFSET($R$3,0,0,'Données projet'!$E$9+1,1))-AVERAGE(OFFSET($H$3,0,0,'Données projet'!$E$9+1,1))</f>
        <v>737.40414421611001</v>
      </c>
      <c r="T116" s="59">
        <f t="shared" si="88"/>
        <v>245.32893490531674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377.28055430105911</v>
      </c>
      <c r="AO116" s="59">
        <f t="shared" si="90"/>
        <v>364.58250627635425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27.041167562992811</v>
      </c>
      <c r="AV116" s="21">
        <f>EXP(-LN(2)/25)*AV115+(1-EXP(-LN(2)/25))/(LN(2)/25)*Calculateur!AQ116*Calculateur!AS116*VLOOKUP('Données projet'!$B$10,Paramètres!$A$1:$I$89,3,0)*0.475*44/12</f>
        <v>20.556953800809083</v>
      </c>
      <c r="AW116" s="21">
        <f>EXP(-LN(2)/2)*AW115+(1-EXP(-LN(2)/2))/(LN(2)/2)*AQ116*AT116*VLOOKUP('Données projet'!$B$10,Paramètres!$A$1:$I$89,3,0)*0.475*44/12</f>
        <v>6.7350066397484966E-4</v>
      </c>
      <c r="AX116" s="21">
        <f t="shared" si="60"/>
        <v>47.598794864465866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4.4337866711430253E-14</v>
      </c>
      <c r="BF116" s="13">
        <f t="shared" si="91"/>
        <v>7.3222115536967035E-13</v>
      </c>
      <c r="BG116" s="20">
        <f t="shared" si="61"/>
        <v>1.3525069634579169E-12</v>
      </c>
      <c r="BH116" s="59">
        <f t="shared" si="62"/>
        <v>280.64530612888899</v>
      </c>
      <c r="BI116" s="59">
        <f ca="1">AVERAGE(OFFSET($BH$3,0,0,'Données projet'!$E$11+1,1))-AVERAGE(OFFSET($H$3,0,0,'Données projet'!$E$11+1,1))</f>
        <v>308.85018589589453</v>
      </c>
      <c r="BJ116" s="59">
        <f t="shared" si="92"/>
        <v>302.59481222418219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17.989388700847858</v>
      </c>
      <c r="BQ116" s="21">
        <f>EXP(-LN(2)/25)*BQ115+(1-EXP(-LN(2)/25))/(LN(2)/25)*Calculateur!BL116*Calculateur!BN116*VLOOKUP('Données projet'!$B$11,Paramètres!$A$1:$I$89,3,0)*0.475*44/12</f>
        <v>12.499384791968625</v>
      </c>
      <c r="BR116" s="21">
        <f>EXP(-LN(2)/2)*BR115+(1-EXP(-LN(2)/2))/(LN(2)/2)*BL116*BO116*VLOOKUP('Données projet'!$B$11,Paramètres!$A$1:$I$89,3,0)*0.475*44/12</f>
        <v>1.4485364354439612E-5</v>
      </c>
      <c r="BS116" s="22">
        <f t="shared" si="63"/>
        <v>30.488787978180838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5.6</v>
      </c>
      <c r="CT116" s="12">
        <f>IF('Données projet'!$A$140&gt;35,CT115+CS116-DB115,IF(A116&lt;'Données projet'!$A$140,$CQ$205^A116,IF(A116='Données projet'!$A$140,'Données projet'!$B$140,CT115+CS116-DB115)))</f>
        <v>252.99999999999983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1248.2250425685213</v>
      </c>
      <c r="S117" s="59">
        <f ca="1">AVERAGE(OFFSET($R$3,0,0,'Données projet'!$E$9+1,1))-AVERAGE(OFFSET($H$3,0,0,'Données projet'!$E$9+1,1))</f>
        <v>737.40414421611001</v>
      </c>
      <c r="T117" s="59">
        <f t="shared" si="88"/>
        <v>245.32893490531674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377.28055430105911</v>
      </c>
      <c r="AO117" s="59">
        <f t="shared" si="90"/>
        <v>364.58250627635425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26.51090676056614</v>
      </c>
      <c r="AV117" s="21">
        <f>EXP(-LN(2)/25)*AV116+(1-EXP(-LN(2)/25))/(LN(2)/25)*Calculateur!AQ117*Calculateur!AS117*VLOOKUP('Données projet'!$B$10,Paramètres!$A$1:$I$89,3,0)*0.475*44/12</f>
        <v>19.994822818082742</v>
      </c>
      <c r="AW117" s="21">
        <f>EXP(-LN(2)/2)*AW116+(1-EXP(-LN(2)/2))/(LN(2)/2)*AQ117*AT117*VLOOKUP('Données projet'!$B$10,Paramètres!$A$1:$I$89,3,0)*0.475*44/12</f>
        <v>4.7623688663025852E-4</v>
      </c>
      <c r="AX117" s="21">
        <f t="shared" si="60"/>
        <v>46.506205815535516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4.4337866711430253E-14</v>
      </c>
      <c r="BF117" s="13">
        <f t="shared" si="91"/>
        <v>7.3222115536967035E-13</v>
      </c>
      <c r="BG117" s="20">
        <f t="shared" si="61"/>
        <v>1.3525069634579169E-12</v>
      </c>
      <c r="BH117" s="59">
        <f t="shared" si="62"/>
        <v>280.86541503470681</v>
      </c>
      <c r="BI117" s="59">
        <f ca="1">AVERAGE(OFFSET($BH$3,0,0,'Données projet'!$E$11+1,1))-AVERAGE(OFFSET($H$3,0,0,'Données projet'!$E$11+1,1))</f>
        <v>308.85018589589453</v>
      </c>
      <c r="BJ117" s="59">
        <f t="shared" si="92"/>
        <v>302.59481222418219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17.636627760867899</v>
      </c>
      <c r="BQ117" s="21">
        <f>EXP(-LN(2)/25)*BQ116+(1-EXP(-LN(2)/25))/(LN(2)/25)*Calculateur!BL117*Calculateur!BN117*VLOOKUP('Données projet'!$B$11,Paramètres!$A$1:$I$89,3,0)*0.475*44/12</f>
        <v>12.157588457518164</v>
      </c>
      <c r="BR117" s="21">
        <f>EXP(-LN(2)/2)*BR116+(1-EXP(-LN(2)/2))/(LN(2)/2)*BL117*BO117*VLOOKUP('Données projet'!$B$11,Paramètres!$A$1:$I$89,3,0)*0.475*44/12</f>
        <v>1.0242699362982146E-5</v>
      </c>
      <c r="BS117" s="22">
        <f t="shared" si="63"/>
        <v>29.794226461085426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5.6</v>
      </c>
      <c r="CT117" s="12">
        <f>IF('Données projet'!$A$140&gt;35,CT116+CS117-DB116,IF(A117&lt;'Données projet'!$A$140,$CQ$205^A117,IF(A117='Données projet'!$A$140,'Données projet'!$B$140,CT116+CS117-DB116)))</f>
        <v>258.59999999999985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1268.7173287645007</v>
      </c>
      <c r="S118" s="59">
        <f ca="1">AVERAGE(OFFSET($R$3,0,0,'Données projet'!$E$9+1,1))-AVERAGE(OFFSET($H$3,0,0,'Données projet'!$E$9+1,1))</f>
        <v>737.40414421611001</v>
      </c>
      <c r="T118" s="59">
        <f t="shared" si="88"/>
        <v>245.32893490531674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377.28055430105911</v>
      </c>
      <c r="AO118" s="59">
        <f t="shared" si="90"/>
        <v>364.58250627635425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25.9910440490479</v>
      </c>
      <c r="AV118" s="21">
        <f>EXP(-LN(2)/25)*AV117+(1-EXP(-LN(2)/25))/(LN(2)/25)*Calculateur!AQ118*Calculateur!AS118*VLOOKUP('Données projet'!$B$10,Paramètres!$A$1:$I$89,3,0)*0.475*44/12</f>
        <v>19.448063336640235</v>
      </c>
      <c r="AW118" s="21">
        <f>EXP(-LN(2)/2)*AW117+(1-EXP(-LN(2)/2))/(LN(2)/2)*AQ118*AT118*VLOOKUP('Données projet'!$B$10,Paramètres!$A$1:$I$89,3,0)*0.475*44/12</f>
        <v>3.3675033198742488E-4</v>
      </c>
      <c r="AX118" s="21">
        <f t="shared" si="60"/>
        <v>45.439444136020121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4.4337866711430253E-14</v>
      </c>
      <c r="BF118" s="13">
        <f t="shared" si="91"/>
        <v>7.3222115536967035E-13</v>
      </c>
      <c r="BG118" s="20">
        <f t="shared" si="61"/>
        <v>1.3525069634579169E-12</v>
      </c>
      <c r="BH118" s="59">
        <f t="shared" si="62"/>
        <v>281.08170554309862</v>
      </c>
      <c r="BI118" s="59">
        <f ca="1">AVERAGE(OFFSET($BH$3,0,0,'Données projet'!$E$11+1,1))-AVERAGE(OFFSET($H$3,0,0,'Données projet'!$E$11+1,1))</f>
        <v>308.85018589589453</v>
      </c>
      <c r="BJ118" s="59">
        <f t="shared" si="92"/>
        <v>302.59481222418219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17.290784247758019</v>
      </c>
      <c r="BQ118" s="21">
        <f>EXP(-LN(2)/25)*BQ117+(1-EXP(-LN(2)/25))/(LN(2)/25)*Calculateur!BL118*Calculateur!BN118*VLOOKUP('Données projet'!$B$11,Paramètres!$A$1:$I$89,3,0)*0.475*44/12</f>
        <v>11.82513856180754</v>
      </c>
      <c r="BR118" s="21">
        <f>EXP(-LN(2)/2)*BR117+(1-EXP(-LN(2)/2))/(LN(2)/2)*BL118*BO118*VLOOKUP('Données projet'!$B$11,Paramètres!$A$1:$I$89,3,0)*0.475*44/12</f>
        <v>7.2426821772198061E-6</v>
      </c>
      <c r="BS118" s="22">
        <f t="shared" si="63"/>
        <v>29.115930052247737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5.6</v>
      </c>
      <c r="CT118" s="12">
        <f>IF('Données projet'!$A$140&gt;35,CT117+CS118-DB117,IF(A118&lt;'Données projet'!$A$140,$CQ$205^A118,IF(A118='Données projet'!$A$140,'Données projet'!$B$140,CT117+CS118-DB117)))</f>
        <v>264.19999999999987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1289.1976362706939</v>
      </c>
      <c r="S119" s="59">
        <f ca="1">AVERAGE(OFFSET($R$3,0,0,'Données projet'!$E$9+1,1))-AVERAGE(OFFSET($H$3,0,0,'Données projet'!$E$9+1,1))</f>
        <v>737.40414421611001</v>
      </c>
      <c r="T119" s="59">
        <f t="shared" si="88"/>
        <v>245.32893490531674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377.28055430105911</v>
      </c>
      <c r="AO119" s="59">
        <f t="shared" si="90"/>
        <v>364.58250627635425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25.48137552821759</v>
      </c>
      <c r="AV119" s="21">
        <f>EXP(-LN(2)/25)*AV118+(1-EXP(-LN(2)/25))/(LN(2)/25)*Calculateur!AQ119*Calculateur!AS119*VLOOKUP('Données projet'!$B$10,Paramètres!$A$1:$I$89,3,0)*0.475*44/12</f>
        <v>18.916255021970606</v>
      </c>
      <c r="AW119" s="21">
        <f>EXP(-LN(2)/2)*AW118+(1-EXP(-LN(2)/2))/(LN(2)/2)*AQ119*AT119*VLOOKUP('Données projet'!$B$10,Paramètres!$A$1:$I$89,3,0)*0.475*44/12</f>
        <v>2.3811844331512929E-4</v>
      </c>
      <c r="AX119" s="21">
        <f t="shared" si="60"/>
        <v>44.39786866863151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4.4337866711430253E-14</v>
      </c>
      <c r="BF119" s="13">
        <f t="shared" si="91"/>
        <v>7.3222115536967035E-13</v>
      </c>
      <c r="BG119" s="20">
        <f t="shared" si="61"/>
        <v>1.3525069634579169E-12</v>
      </c>
      <c r="BH119" s="59">
        <f t="shared" si="62"/>
        <v>281.29424389472285</v>
      </c>
      <c r="BI119" s="59">
        <f ca="1">AVERAGE(OFFSET($BH$3,0,0,'Données projet'!$E$11+1,1))-AVERAGE(OFFSET($H$3,0,0,'Données projet'!$E$11+1,1))</f>
        <v>308.85018589589453</v>
      </c>
      <c r="BJ119" s="59">
        <f t="shared" si="92"/>
        <v>302.59481222418219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16.951722514996511</v>
      </c>
      <c r="BQ119" s="21">
        <f>EXP(-LN(2)/25)*BQ118+(1-EXP(-LN(2)/25))/(LN(2)/25)*Calculateur!BL119*Calculateur!BN119*VLOOKUP('Données projet'!$B$11,Paramètres!$A$1:$I$89,3,0)*0.475*44/12</f>
        <v>11.501779525977902</v>
      </c>
      <c r="BR119" s="21">
        <f>EXP(-LN(2)/2)*BR118+(1-EXP(-LN(2)/2))/(LN(2)/2)*BL119*BO119*VLOOKUP('Données projet'!$B$11,Paramètres!$A$1:$I$89,3,0)*0.475*44/12</f>
        <v>5.121349681491073E-6</v>
      </c>
      <c r="BS119" s="22">
        <f t="shared" si="63"/>
        <v>28.453507162324094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5.6</v>
      </c>
      <c r="CT119" s="12">
        <f>IF('Données projet'!$A$140&gt;35,CT118+CS119-DB118,IF(A119&lt;'Données projet'!$A$140,$CQ$205^A119,IF(A119='Données projet'!$A$140,'Données projet'!$B$140,CT118+CS119-DB118)))</f>
        <v>269.7999999999999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1309.6662186592116</v>
      </c>
      <c r="S120" s="59">
        <f ca="1">AVERAGE(OFFSET($R$3,0,0,'Données projet'!$E$9+1,1))-AVERAGE(OFFSET($H$3,0,0,'Données projet'!$E$9+1,1))</f>
        <v>737.40414421611001</v>
      </c>
      <c r="T120" s="59">
        <f t="shared" si="88"/>
        <v>245.32893490531674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377.28055430105911</v>
      </c>
      <c r="AO120" s="59">
        <f t="shared" si="90"/>
        <v>364.58250627635425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24.981701296213661</v>
      </c>
      <c r="AV120" s="21">
        <f>EXP(-LN(2)/25)*AV119+(1-EXP(-LN(2)/25))/(LN(2)/25)*Calculateur!AQ120*Calculateur!AS120*VLOOKUP('Données projet'!$B$10,Paramètres!$A$1:$I$89,3,0)*0.475*44/12</f>
        <v>18.398989033632201</v>
      </c>
      <c r="AW120" s="21">
        <f>EXP(-LN(2)/2)*AW119+(1-EXP(-LN(2)/2))/(LN(2)/2)*AQ120*AT120*VLOOKUP('Données projet'!$B$10,Paramètres!$A$1:$I$89,3,0)*0.475*44/12</f>
        <v>1.6837516599371247E-4</v>
      </c>
      <c r="AX120" s="21">
        <f t="shared" si="60"/>
        <v>43.380858705011853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4.4337866711430253E-14</v>
      </c>
      <c r="BF120" s="13">
        <f t="shared" si="91"/>
        <v>7.3222115536967035E-13</v>
      </c>
      <c r="BG120" s="20">
        <f t="shared" si="61"/>
        <v>1.3525069634579169E-12</v>
      </c>
      <c r="BH120" s="59">
        <f t="shared" si="62"/>
        <v>281.50309518111101</v>
      </c>
      <c r="BI120" s="59">
        <f ca="1">AVERAGE(OFFSET($BH$3,0,0,'Données projet'!$E$11+1,1))-AVERAGE(OFFSET($H$3,0,0,'Données projet'!$E$11+1,1))</f>
        <v>308.85018589589453</v>
      </c>
      <c r="BJ120" s="59">
        <f t="shared" si="92"/>
        <v>302.59481222418219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16.619309576007222</v>
      </c>
      <c r="BQ120" s="21">
        <f>EXP(-LN(2)/25)*BQ119+(1-EXP(-LN(2)/25))/(LN(2)/25)*Calculateur!BL120*Calculateur!BN120*VLOOKUP('Données projet'!$B$11,Paramètres!$A$1:$I$89,3,0)*0.475*44/12</f>
        <v>11.187262759987739</v>
      </c>
      <c r="BR120" s="21">
        <f>EXP(-LN(2)/2)*BR119+(1-EXP(-LN(2)/2))/(LN(2)/2)*BL120*BO120*VLOOKUP('Données projet'!$B$11,Paramètres!$A$1:$I$89,3,0)*0.475*44/12</f>
        <v>3.621341088609903E-6</v>
      </c>
      <c r="BS120" s="22">
        <f t="shared" si="63"/>
        <v>27.806575957336051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5.6</v>
      </c>
      <c r="CT120" s="12">
        <f>IF('Données projet'!$A$140&gt;35,CT119+CS120-DB119,IF(A120&lt;'Données projet'!$A$140,$CQ$205^A120,IF(A120='Données projet'!$A$140,'Données projet'!$B$140,CT119+CS120-DB119)))</f>
        <v>275.39999999999992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1330.1233203506649</v>
      </c>
      <c r="S121" s="59">
        <f ca="1">AVERAGE(OFFSET($R$3,0,0,'Données projet'!$E$9+1,1))-AVERAGE(OFFSET($H$3,0,0,'Données projet'!$E$9+1,1))</f>
        <v>737.40414421611001</v>
      </c>
      <c r="T121" s="59">
        <f t="shared" si="88"/>
        <v>245.32893490531674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377.28055430105911</v>
      </c>
      <c r="AO121" s="59">
        <f t="shared" si="90"/>
        <v>364.58250627635425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24.49182537112814</v>
      </c>
      <c r="AV121" s="21">
        <f>EXP(-LN(2)/25)*AV120+(1-EXP(-LN(2)/25))/(LN(2)/25)*Calculateur!AQ121*Calculateur!AS121*VLOOKUP('Données projet'!$B$10,Paramètres!$A$1:$I$89,3,0)*0.475*44/12</f>
        <v>17.895867710946746</v>
      </c>
      <c r="AW121" s="21">
        <f>EXP(-LN(2)/2)*AW120+(1-EXP(-LN(2)/2))/(LN(2)/2)*AQ121*AT121*VLOOKUP('Données projet'!$B$10,Paramètres!$A$1:$I$89,3,0)*0.475*44/12</f>
        <v>1.1905922165756467E-4</v>
      </c>
      <c r="AX121" s="21">
        <f t="shared" si="60"/>
        <v>42.38781214129655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4.4337866711430253E-14</v>
      </c>
      <c r="BF121" s="13">
        <f t="shared" si="91"/>
        <v>7.3222115536967035E-13</v>
      </c>
      <c r="BG121" s="20">
        <f t="shared" si="61"/>
        <v>1.3525069634579169E-12</v>
      </c>
      <c r="BH121" s="59">
        <f t="shared" si="62"/>
        <v>281.70832336460177</v>
      </c>
      <c r="BI121" s="59">
        <f ca="1">AVERAGE(OFFSET($BH$3,0,0,'Données projet'!$E$11+1,1))-AVERAGE(OFFSET($H$3,0,0,'Données projet'!$E$11+1,1))</f>
        <v>308.85018589589453</v>
      </c>
      <c r="BJ121" s="59">
        <f t="shared" si="92"/>
        <v>302.59481222418219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16.293415051999638</v>
      </c>
      <c r="BQ121" s="21">
        <f>EXP(-LN(2)/25)*BQ120+(1-EXP(-LN(2)/25))/(LN(2)/25)*Calculateur!BL121*Calculateur!BN121*VLOOKUP('Données projet'!$B$11,Paramètres!$A$1:$I$89,3,0)*0.475*44/12</f>
        <v>10.881346471503294</v>
      </c>
      <c r="BR121" s="21">
        <f>EXP(-LN(2)/2)*BR120+(1-EXP(-LN(2)/2))/(LN(2)/2)*BL121*BO121*VLOOKUP('Données projet'!$B$11,Paramètres!$A$1:$I$89,3,0)*0.475*44/12</f>
        <v>2.5606748407455365E-6</v>
      </c>
      <c r="BS121" s="22">
        <f t="shared" si="63"/>
        <v>27.17476408417777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>
        <f>VLOOKUP(A121,'Données projet'!$A$139:$I$159,2,0)</f>
        <v>281</v>
      </c>
      <c r="CR121" s="12">
        <f>VLOOKUP(A121,'Données projet'!$A$139:$I$159,9,0)</f>
        <v>5.6</v>
      </c>
      <c r="CS121" s="12">
        <f t="array" ref="CS121">INDEX(CR:CR,MIN(IF(ISNUMBER(CR121:CR317),ROW(CR121:CR317),"")))</f>
        <v>5.6</v>
      </c>
      <c r="CT121" s="12">
        <f>IF('Données projet'!$A$140&gt;35,CT120+CS121-DB120,IF(A121&lt;'Données projet'!$A$140,$CQ$205^A121,IF(A121='Données projet'!$A$140,'Données projet'!$B$140,CT120+CS121-DB120)))</f>
        <v>280.99999999999994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10</v>
      </c>
      <c r="DB121" s="15">
        <f>IF(ISNA(VLOOKUP(A121,'Données projet'!$A$139:$I$159,4,0)),0,VLOOKUP(A121,'Données projet'!$A$139:$I$159,4,0))</f>
        <v>40</v>
      </c>
      <c r="DC121" s="16" t="e">
        <f>IF(ISNA(VLOOKUP(A121,'Données projet'!$A$139:$I$159,5,0)),0%,VLOOKUP(A121,'Données projet'!$A$139:$I$159,5,0)*VLOOKUP('Données projet'!$B$13,Paramètres!$A$1:$I$89,7,0))</f>
        <v>#N/A</v>
      </c>
      <c r="DD121" s="16" t="e">
        <f>IF(ISNA(VLOOKUP(A121,'Données projet'!$A$139:$I$159,6,0)),0%,VLOOKUP(A121,'Données projet'!$A$139:$I$159,6,0)*VLOOKUP('Données projet'!$B$13,Paramètres!$A$1:$I$89,7,0))</f>
        <v>#N/A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1350.5691771266629</v>
      </c>
      <c r="S122" s="59">
        <f ca="1">AVERAGE(OFFSET($R$3,0,0,'Données projet'!$E$9+1,1))-AVERAGE(OFFSET($H$3,0,0,'Données projet'!$E$9+1,1))</f>
        <v>737.40414421611001</v>
      </c>
      <c r="T122" s="59">
        <f t="shared" si="88"/>
        <v>245.32893490531674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377.28055430105911</v>
      </c>
      <c r="AO122" s="59">
        <f t="shared" si="90"/>
        <v>364.58250627635425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24.011555614138736</v>
      </c>
      <c r="AV122" s="21">
        <f>EXP(-LN(2)/25)*AV121+(1-EXP(-LN(2)/25))/(LN(2)/25)*Calculateur!AQ122*Calculateur!AS122*VLOOKUP('Données projet'!$B$10,Paramètres!$A$1:$I$89,3,0)*0.475*44/12</f>
        <v>17.406504267288124</v>
      </c>
      <c r="AW122" s="21">
        <f>EXP(-LN(2)/2)*AW121+(1-EXP(-LN(2)/2))/(LN(2)/2)*AQ122*AT122*VLOOKUP('Données projet'!$B$10,Paramètres!$A$1:$I$89,3,0)*0.475*44/12</f>
        <v>8.4187582996856248E-5</v>
      </c>
      <c r="AX122" s="21">
        <f t="shared" si="60"/>
        <v>41.418144069009855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4.4337866711430253E-14</v>
      </c>
      <c r="BF122" s="13">
        <f t="shared" si="91"/>
        <v>7.3222115536967035E-13</v>
      </c>
      <c r="BG122" s="20">
        <f t="shared" si="61"/>
        <v>1.3525069634579169E-12</v>
      </c>
      <c r="BH122" s="59">
        <f t="shared" si="62"/>
        <v>281.9099912979305</v>
      </c>
      <c r="BI122" s="59">
        <f ca="1">AVERAGE(OFFSET($BH$3,0,0,'Données projet'!$E$11+1,1))-AVERAGE(OFFSET($H$3,0,0,'Données projet'!$E$11+1,1))</f>
        <v>308.85018589589453</v>
      </c>
      <c r="BJ122" s="59">
        <f t="shared" si="92"/>
        <v>302.59481222418219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15.973911120831811</v>
      </c>
      <c r="BQ122" s="21">
        <f>EXP(-LN(2)/25)*BQ121+(1-EXP(-LN(2)/25))/(LN(2)/25)*Calculateur!BL122*Calculateur!BN122*VLOOKUP('Données projet'!$B$11,Paramètres!$A$1:$I$89,3,0)*0.475*44/12</f>
        <v>10.583795480014896</v>
      </c>
      <c r="BR122" s="21">
        <f>EXP(-LN(2)/2)*BR121+(1-EXP(-LN(2)/2))/(LN(2)/2)*BL122*BO122*VLOOKUP('Données projet'!$B$11,Paramètres!$A$1:$I$89,3,0)*0.475*44/12</f>
        <v>1.8106705443049515E-6</v>
      </c>
      <c r="BS122" s="22">
        <f t="shared" si="63"/>
        <v>26.55770841151725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5.6</v>
      </c>
      <c r="CT122" s="12">
        <f>IF('Données projet'!$A$140&gt;35,CT121+CS122-DB121,IF(A122&lt;'Données projet'!$A$140,$CQ$205^A122,IF(A122='Données projet'!$A$140,'Données projet'!$B$140,CT121+CS122-DB121)))</f>
        <v>246.59999999999997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1371.0040166027391</v>
      </c>
      <c r="S123" s="59">
        <f ca="1">AVERAGE(OFFSET($R$3,0,0,'Données projet'!$E$9+1,1))-AVERAGE(OFFSET($H$3,0,0,'Données projet'!$E$9+1,1))</f>
        <v>737.40414421611001</v>
      </c>
      <c r="T123" s="59">
        <f t="shared" si="88"/>
        <v>245.32893490531674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377.28055430105911</v>
      </c>
      <c r="AO123" s="59">
        <f t="shared" si="90"/>
        <v>364.58250627635425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23.540703654148267</v>
      </c>
      <c r="AV123" s="21">
        <f>EXP(-LN(2)/25)*AV122+(1-EXP(-LN(2)/25))/(LN(2)/25)*Calculateur!AQ123*Calculateur!AS123*VLOOKUP('Données projet'!$B$10,Paramètres!$A$1:$I$89,3,0)*0.475*44/12</f>
        <v>16.930522492730855</v>
      </c>
      <c r="AW123" s="21">
        <f>EXP(-LN(2)/2)*AW122+(1-EXP(-LN(2)/2))/(LN(2)/2)*AQ123*AT123*VLOOKUP('Données projet'!$B$10,Paramètres!$A$1:$I$89,3,0)*0.475*44/12</f>
        <v>5.9529610828782342E-5</v>
      </c>
      <c r="AX123" s="21">
        <f t="shared" si="60"/>
        <v>40.471285676489948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4.4337866711430253E-14</v>
      </c>
      <c r="BF123" s="13">
        <f t="shared" si="91"/>
        <v>7.3222115536967035E-13</v>
      </c>
      <c r="BG123" s="20">
        <f t="shared" si="61"/>
        <v>1.3525069634579169E-12</v>
      </c>
      <c r="BH123" s="59">
        <f t="shared" si="62"/>
        <v>282.10816074347798</v>
      </c>
      <c r="BI123" s="59">
        <f ca="1">AVERAGE(OFFSET($BH$3,0,0,'Données projet'!$E$11+1,1))-AVERAGE(OFFSET($H$3,0,0,'Données projet'!$E$11+1,1))</f>
        <v>308.85018589589453</v>
      </c>
      <c r="BJ123" s="59">
        <f t="shared" si="92"/>
        <v>302.59481222418219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15.660672466876029</v>
      </c>
      <c r="BQ123" s="21">
        <f>EXP(-LN(2)/25)*BQ122+(1-EXP(-LN(2)/25))/(LN(2)/25)*Calculateur!BL123*Calculateur!BN123*VLOOKUP('Données projet'!$B$11,Paramètres!$A$1:$I$89,3,0)*0.475*44/12</f>
        <v>10.294381036036274</v>
      </c>
      <c r="BR123" s="21">
        <f>EXP(-LN(2)/2)*BR122+(1-EXP(-LN(2)/2))/(LN(2)/2)*BL123*BO123*VLOOKUP('Données projet'!$B$11,Paramètres!$A$1:$I$89,3,0)*0.475*44/12</f>
        <v>1.2803374203727682E-6</v>
      </c>
      <c r="BS123" s="22">
        <f t="shared" si="63"/>
        <v>25.955054783249725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5.6</v>
      </c>
      <c r="CT123" s="12">
        <f>IF('Données projet'!$A$140&gt;35,CT122+CS123-DB122,IF(A123&lt;'Données projet'!$A$140,$CQ$205^A123,IF(A123='Données projet'!$A$140,'Données projet'!$B$140,CT122+CS123-DB122)))</f>
        <v>252.19999999999996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1266.7746005217791</v>
      </c>
      <c r="S124" s="59">
        <f ca="1">AVERAGE(OFFSET($R$3,0,0,'Données projet'!$E$9+1,1))-AVERAGE(OFFSET($H$3,0,0,'Données projet'!$E$9+1,1))</f>
        <v>737.40414421611001</v>
      </c>
      <c r="T124" s="59">
        <f t="shared" si="88"/>
        <v>245.32893490531674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377.28055430105911</v>
      </c>
      <c r="AO124" s="59">
        <f t="shared" si="90"/>
        <v>364.58250627635425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23.079084813901872</v>
      </c>
      <c r="AV124" s="21">
        <f>EXP(-LN(2)/25)*AV123+(1-EXP(-LN(2)/25))/(LN(2)/25)*Calculateur!AQ124*Calculateur!AS124*VLOOKUP('Données projet'!$B$10,Paramètres!$A$1:$I$89,3,0)*0.475*44/12</f>
        <v>16.467556464829649</v>
      </c>
      <c r="AW124" s="21">
        <f>EXP(-LN(2)/2)*AW123+(1-EXP(-LN(2)/2))/(LN(2)/2)*AQ124*AT124*VLOOKUP('Données projet'!$B$10,Paramètres!$A$1:$I$89,3,0)*0.475*44/12</f>
        <v>4.2093791498428131E-5</v>
      </c>
      <c r="AX124" s="21">
        <f t="shared" si="60"/>
        <v>39.54668337252302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4.4337866711430253E-14</v>
      </c>
      <c r="BF124" s="13">
        <f t="shared" si="91"/>
        <v>7.3222115536967035E-13</v>
      </c>
      <c r="BG124" s="20">
        <f t="shared" si="61"/>
        <v>1.3525069634579169E-12</v>
      </c>
      <c r="BH124" s="59">
        <f t="shared" si="62"/>
        <v>282.30289239218575</v>
      </c>
      <c r="BI124" s="59">
        <f ca="1">AVERAGE(OFFSET($BH$3,0,0,'Données projet'!$E$11+1,1))-AVERAGE(OFFSET($H$3,0,0,'Données projet'!$E$11+1,1))</f>
        <v>308.85018589589453</v>
      </c>
      <c r="BJ124" s="59">
        <f t="shared" si="92"/>
        <v>302.59481222418219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15.353576231867606</v>
      </c>
      <c r="BQ124" s="21">
        <f>EXP(-LN(2)/25)*BQ123+(1-EXP(-LN(2)/25))/(LN(2)/25)*Calculateur!BL124*Calculateur!BN124*VLOOKUP('Données projet'!$B$11,Paramètres!$A$1:$I$89,3,0)*0.475*44/12</f>
        <v>10.012880645247892</v>
      </c>
      <c r="BR124" s="21">
        <f>EXP(-LN(2)/2)*BR123+(1-EXP(-LN(2)/2))/(LN(2)/2)*BL124*BO124*VLOOKUP('Données projet'!$B$11,Paramètres!$A$1:$I$89,3,0)*0.475*44/12</f>
        <v>9.0533527215247576E-7</v>
      </c>
      <c r="BS124" s="22">
        <f t="shared" si="63"/>
        <v>25.36645778245077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5.6</v>
      </c>
      <c r="CT124" s="12">
        <f>IF('Données projet'!$A$140&gt;35,CT123+CS124-DB123,IF(A124&lt;'Données projet'!$A$140,$CQ$205^A124,IF(A124='Données projet'!$A$140,'Données projet'!$B$140,CT123+CS124-DB123)))</f>
        <v>257.79999999999995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1287.2727810806939</v>
      </c>
      <c r="S125" s="59">
        <f ca="1">AVERAGE(OFFSET($R$3,0,0,'Données projet'!$E$9+1,1))-AVERAGE(OFFSET($H$3,0,0,'Données projet'!$E$9+1,1))</f>
        <v>737.40414421611001</v>
      </c>
      <c r="T125" s="59">
        <f t="shared" si="88"/>
        <v>245.32893490531674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377.28055430105911</v>
      </c>
      <c r="AO125" s="59">
        <f t="shared" si="90"/>
        <v>364.58250627635425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22.626518037553019</v>
      </c>
      <c r="AV125" s="21">
        <f>EXP(-LN(2)/25)*AV124+(1-EXP(-LN(2)/25))/(LN(2)/25)*Calculateur!AQ125*Calculateur!AS125*VLOOKUP('Données projet'!$B$10,Paramètres!$A$1:$I$89,3,0)*0.475*44/12</f>
        <v>16.017250267307723</v>
      </c>
      <c r="AW125" s="21">
        <f>EXP(-LN(2)/2)*AW124+(1-EXP(-LN(2)/2))/(LN(2)/2)*AQ125*AT125*VLOOKUP('Données projet'!$B$10,Paramètres!$A$1:$I$89,3,0)*0.475*44/12</f>
        <v>2.9764805414391178E-5</v>
      </c>
      <c r="AX125" s="21">
        <f t="shared" si="60"/>
        <v>38.643798069666154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4.4337866711430253E-14</v>
      </c>
      <c r="BF125" s="13">
        <f t="shared" si="91"/>
        <v>7.3222115536967035E-13</v>
      </c>
      <c r="BG125" s="20">
        <f t="shared" si="61"/>
        <v>1.3525069634579169E-12</v>
      </c>
      <c r="BH125" s="59">
        <f t="shared" si="62"/>
        <v>282.49424588214316</v>
      </c>
      <c r="BI125" s="59">
        <f ca="1">AVERAGE(OFFSET($BH$3,0,0,'Données projet'!$E$11+1,1))-AVERAGE(OFFSET($H$3,0,0,'Données projet'!$E$11+1,1))</f>
        <v>308.85018589589453</v>
      </c>
      <c r="BJ125" s="59">
        <f t="shared" si="92"/>
        <v>302.59481222418219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15.052501966717491</v>
      </c>
      <c r="BQ125" s="21">
        <f>EXP(-LN(2)/25)*BQ124+(1-EXP(-LN(2)/25))/(LN(2)/25)*Calculateur!BL125*Calculateur!BN125*VLOOKUP('Données projet'!$B$11,Paramètres!$A$1:$I$89,3,0)*0.475*44/12</f>
        <v>9.7390778974490804</v>
      </c>
      <c r="BR125" s="21">
        <f>EXP(-LN(2)/2)*BR124+(1-EXP(-LN(2)/2))/(LN(2)/2)*BL125*BO125*VLOOKUP('Données projet'!$B$11,Paramètres!$A$1:$I$89,3,0)*0.475*44/12</f>
        <v>6.4016871018638412E-7</v>
      </c>
      <c r="BS125" s="22">
        <f t="shared" si="63"/>
        <v>24.791580504335283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5.6</v>
      </c>
      <c r="CT125" s="12">
        <f>IF('Données projet'!$A$140&gt;35,CT124+CS125-DB124,IF(A125&lt;'Données projet'!$A$140,$CQ$205^A125,IF(A125='Données projet'!$A$140,'Données projet'!$B$140,CT124+CS125-DB124)))</f>
        <v>263.39999999999998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1307.7595453904921</v>
      </c>
      <c r="S126" s="59">
        <f ca="1">AVERAGE(OFFSET($R$3,0,0,'Données projet'!$E$9+1,1))-AVERAGE(OFFSET($H$3,0,0,'Données projet'!$E$9+1,1))</f>
        <v>737.40414421611001</v>
      </c>
      <c r="T126" s="59">
        <f t="shared" si="88"/>
        <v>245.32893490531674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377.28055430105911</v>
      </c>
      <c r="AO126" s="59">
        <f t="shared" si="90"/>
        <v>364.58250627635425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22.182825819649889</v>
      </c>
      <c r="AV126" s="21">
        <f>EXP(-LN(2)/25)*AV125+(1-EXP(-LN(2)/25))/(LN(2)/25)*Calculateur!AQ126*Calculateur!AS126*VLOOKUP('Données projet'!$B$10,Paramètres!$A$1:$I$89,3,0)*0.475*44/12</f>
        <v>15.57925771643761</v>
      </c>
      <c r="AW126" s="21">
        <f>EXP(-LN(2)/2)*AW125+(1-EXP(-LN(2)/2))/(LN(2)/2)*AQ126*AT126*VLOOKUP('Données projet'!$B$10,Paramètres!$A$1:$I$89,3,0)*0.475*44/12</f>
        <v>2.1046895749214069E-5</v>
      </c>
      <c r="AX126" s="21">
        <f t="shared" si="60"/>
        <v>37.762104582983248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4.4337866711430253E-14</v>
      </c>
      <c r="BF126" s="13">
        <f t="shared" si="91"/>
        <v>7.3222115536967035E-13</v>
      </c>
      <c r="BG126" s="20">
        <f t="shared" si="61"/>
        <v>1.3525069634579169E-12</v>
      </c>
      <c r="BH126" s="59">
        <f t="shared" si="62"/>
        <v>282.68227981685203</v>
      </c>
      <c r="BI126" s="59">
        <f ca="1">AVERAGE(OFFSET($BH$3,0,0,'Données projet'!$E$11+1,1))-AVERAGE(OFFSET($H$3,0,0,'Données projet'!$E$11+1,1))</f>
        <v>308.85018589589453</v>
      </c>
      <c r="BJ126" s="59">
        <f t="shared" si="92"/>
        <v>302.59481222418219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14.757331584269801</v>
      </c>
      <c r="BQ126" s="21">
        <f>EXP(-LN(2)/25)*BQ125+(1-EXP(-LN(2)/25))/(LN(2)/25)*Calculateur!BL126*Calculateur!BN126*VLOOKUP('Données projet'!$B$11,Paramètres!$A$1:$I$89,3,0)*0.475*44/12</f>
        <v>9.4727623001874868</v>
      </c>
      <c r="BR126" s="21">
        <f>EXP(-LN(2)/2)*BR125+(1-EXP(-LN(2)/2))/(LN(2)/2)*BL126*BO126*VLOOKUP('Données projet'!$B$11,Paramètres!$A$1:$I$89,3,0)*0.475*44/12</f>
        <v>4.5266763607623788E-7</v>
      </c>
      <c r="BS126" s="22">
        <f t="shared" si="63"/>
        <v>24.230094337124925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5.6</v>
      </c>
      <c r="CT126" s="12">
        <f>IF('Données projet'!$A$140&gt;35,CT125+CS126-DB125,IF(A126&lt;'Données projet'!$A$140,$CQ$205^A126,IF(A126='Données projet'!$A$140,'Données projet'!$B$140,CT125+CS126-DB125)))</f>
        <v>269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1328.2351337111747</v>
      </c>
      <c r="S127" s="59">
        <f ca="1">AVERAGE(OFFSET($R$3,0,0,'Données projet'!$E$9+1,1))-AVERAGE(OFFSET($H$3,0,0,'Données projet'!$E$9+1,1))</f>
        <v>737.40414421611001</v>
      </c>
      <c r="T127" s="59">
        <f t="shared" si="88"/>
        <v>245.32893490531674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377.28055430105911</v>
      </c>
      <c r="AO127" s="59">
        <f t="shared" si="90"/>
        <v>364.58250627635425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21.74783413551431</v>
      </c>
      <c r="AV127" s="21">
        <f>EXP(-LN(2)/25)*AV126+(1-EXP(-LN(2)/25))/(LN(2)/25)*Calculateur!AQ127*Calculateur!AS127*VLOOKUP('Données projet'!$B$10,Paramètres!$A$1:$I$89,3,0)*0.475*44/12</f>
        <v>15.153242094904067</v>
      </c>
      <c r="AW127" s="21">
        <f>EXP(-LN(2)/2)*AW126+(1-EXP(-LN(2)/2))/(LN(2)/2)*AQ127*AT127*VLOOKUP('Données projet'!$B$10,Paramètres!$A$1:$I$89,3,0)*0.475*44/12</f>
        <v>1.4882402707195591E-5</v>
      </c>
      <c r="AX127" s="21">
        <f t="shared" si="60"/>
        <v>36.901091112821085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4.4337866711430253E-14</v>
      </c>
      <c r="BF127" s="13">
        <f t="shared" si="91"/>
        <v>7.3222115536967035E-13</v>
      </c>
      <c r="BG127" s="20">
        <f t="shared" si="61"/>
        <v>1.3525069634579169E-12</v>
      </c>
      <c r="BH127" s="59">
        <f t="shared" si="62"/>
        <v>282.8670517831747</v>
      </c>
      <c r="BI127" s="59">
        <f ca="1">AVERAGE(OFFSET($BH$3,0,0,'Données projet'!$E$11+1,1))-AVERAGE(OFFSET($H$3,0,0,'Données projet'!$E$11+1,1))</f>
        <v>308.85018589589453</v>
      </c>
      <c r="BJ127" s="59">
        <f t="shared" si="92"/>
        <v>302.59481222418219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14.467949312985754</v>
      </c>
      <c r="BQ127" s="21">
        <f>EXP(-LN(2)/25)*BQ126+(1-EXP(-LN(2)/25))/(LN(2)/25)*Calculateur!BL127*Calculateur!BN127*VLOOKUP('Données projet'!$B$11,Paramètres!$A$1:$I$89,3,0)*0.475*44/12</f>
        <v>9.2137291169379409</v>
      </c>
      <c r="BR127" s="21">
        <f>EXP(-LN(2)/2)*BR126+(1-EXP(-LN(2)/2))/(LN(2)/2)*BL127*BO127*VLOOKUP('Données projet'!$B$11,Paramètres!$A$1:$I$89,3,0)*0.475*44/12</f>
        <v>3.2008435509319206E-7</v>
      </c>
      <c r="BS127" s="22">
        <f t="shared" si="63"/>
        <v>23.681678750008047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5.6</v>
      </c>
      <c r="CT127" s="12">
        <f>IF('Données projet'!$A$140&gt;35,CT126+CS127-DB126,IF(A127&lt;'Données projet'!$A$140,$CQ$205^A127,IF(A127='Données projet'!$A$140,'Données projet'!$B$140,CT126+CS127-DB126)))</f>
        <v>274.60000000000002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1348.6997776450021</v>
      </c>
      <c r="S128" s="59">
        <f ca="1">AVERAGE(OFFSET($R$3,0,0,'Données projet'!$E$9+1,1))-AVERAGE(OFFSET($H$3,0,0,'Données projet'!$E$9+1,1))</f>
        <v>737.40414421611001</v>
      </c>
      <c r="T128" s="59">
        <f t="shared" si="88"/>
        <v>245.32893490531674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377.28055430105911</v>
      </c>
      <c r="AO128" s="59">
        <f t="shared" si="90"/>
        <v>364.58250627635425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21.321372372985898</v>
      </c>
      <c r="AV128" s="21">
        <f>EXP(-LN(2)/25)*AV127+(1-EXP(-LN(2)/25))/(LN(2)/25)*Calculateur!AQ128*Calculateur!AS128*VLOOKUP('Données projet'!$B$10,Paramètres!$A$1:$I$89,3,0)*0.475*44/12</f>
        <v>14.738875892944547</v>
      </c>
      <c r="AW128" s="21">
        <f>EXP(-LN(2)/2)*AW127+(1-EXP(-LN(2)/2))/(LN(2)/2)*AQ128*AT128*VLOOKUP('Données projet'!$B$10,Paramètres!$A$1:$I$89,3,0)*0.475*44/12</f>
        <v>1.0523447874607036E-5</v>
      </c>
      <c r="AX128" s="21">
        <f t="shared" si="60"/>
        <v>36.060258789378324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4.4337866711430253E-14</v>
      </c>
      <c r="BF128" s="13">
        <f t="shared" si="91"/>
        <v>7.3222115536967035E-13</v>
      </c>
      <c r="BG128" s="20">
        <f t="shared" si="61"/>
        <v>1.3525069634579169E-12</v>
      </c>
      <c r="BH128" s="59">
        <f t="shared" si="62"/>
        <v>283.04861836896987</v>
      </c>
      <c r="BI128" s="59">
        <f ca="1">AVERAGE(OFFSET($BH$3,0,0,'Données projet'!$E$11+1,1))-AVERAGE(OFFSET($H$3,0,0,'Données projet'!$E$11+1,1))</f>
        <v>308.85018589589453</v>
      </c>
      <c r="BJ128" s="59">
        <f t="shared" si="92"/>
        <v>302.59481222418219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14.18424165153583</v>
      </c>
      <c r="BQ128" s="21">
        <f>EXP(-LN(2)/25)*BQ127+(1-EXP(-LN(2)/25))/(LN(2)/25)*Calculateur!BL128*Calculateur!BN128*VLOOKUP('Données projet'!$B$11,Paramètres!$A$1:$I$89,3,0)*0.475*44/12</f>
        <v>8.9617792097063163</v>
      </c>
      <c r="BR128" s="21">
        <f>EXP(-LN(2)/2)*BR127+(1-EXP(-LN(2)/2))/(LN(2)/2)*BL128*BO128*VLOOKUP('Données projet'!$B$11,Paramètres!$A$1:$I$89,3,0)*0.475*44/12</f>
        <v>2.2633381803811894E-7</v>
      </c>
      <c r="BS128" s="22">
        <f t="shared" si="63"/>
        <v>23.146021087575964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5.6</v>
      </c>
      <c r="CT128" s="12">
        <f>IF('Données projet'!$A$140&gt;35,CT127+CS128-DB127,IF(A128&lt;'Données projet'!$A$140,$CQ$205^A128,IF(A128='Données projet'!$A$140,'Données projet'!$B$140,CT127+CS128-DB127)))</f>
        <v>280.20000000000005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1369.1537006174876</v>
      </c>
      <c r="S129" s="59">
        <f ca="1">AVERAGE(OFFSET($R$3,0,0,'Données projet'!$E$9+1,1))-AVERAGE(OFFSET($H$3,0,0,'Données projet'!$E$9+1,1))</f>
        <v>737.40414421611001</v>
      </c>
      <c r="T129" s="59">
        <f t="shared" si="88"/>
        <v>245.32893490531674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377.28055430105911</v>
      </c>
      <c r="AO129" s="59">
        <f t="shared" si="90"/>
        <v>364.58250627635425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20.90327326550468</v>
      </c>
      <c r="AV129" s="21">
        <f>EXP(-LN(2)/25)*AV128+(1-EXP(-LN(2)/25))/(LN(2)/25)*Calculateur!AQ129*Calculateur!AS129*VLOOKUP('Données projet'!$B$10,Paramètres!$A$1:$I$89,3,0)*0.475*44/12</f>
        <v>14.335840556568181</v>
      </c>
      <c r="AW129" s="21">
        <f>EXP(-LN(2)/2)*AW128+(1-EXP(-LN(2)/2))/(LN(2)/2)*AQ129*AT129*VLOOKUP('Données projet'!$B$10,Paramètres!$A$1:$I$89,3,0)*0.475*44/12</f>
        <v>7.4412013535977962E-6</v>
      </c>
      <c r="AX129" s="21">
        <f t="shared" si="60"/>
        <v>35.239121263274214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4.4337866711430253E-14</v>
      </c>
      <c r="BF129" s="13">
        <f t="shared" si="91"/>
        <v>7.3222115536967035E-13</v>
      </c>
      <c r="BG129" s="20">
        <f t="shared" si="61"/>
        <v>1.3525069634579169E-12</v>
      </c>
      <c r="BH129" s="59">
        <f t="shared" si="62"/>
        <v>283.22703518042357</v>
      </c>
      <c r="BI129" s="59">
        <f ca="1">AVERAGE(OFFSET($BH$3,0,0,'Données projet'!$E$11+1,1))-AVERAGE(OFFSET($H$3,0,0,'Données projet'!$E$11+1,1))</f>
        <v>308.85018589589453</v>
      </c>
      <c r="BJ129" s="59">
        <f t="shared" si="92"/>
        <v>302.59481222418219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13.906097324282351</v>
      </c>
      <c r="BQ129" s="21">
        <f>EXP(-LN(2)/25)*BQ128+(1-EXP(-LN(2)/25))/(LN(2)/25)*Calculateur!BL129*Calculateur!BN129*VLOOKUP('Données projet'!$B$11,Paramètres!$A$1:$I$89,3,0)*0.475*44/12</f>
        <v>8.7167188859374107</v>
      </c>
      <c r="BR129" s="21">
        <f>EXP(-LN(2)/2)*BR128+(1-EXP(-LN(2)/2))/(LN(2)/2)*BL129*BO129*VLOOKUP('Données projet'!$B$11,Paramètres!$A$1:$I$89,3,0)*0.475*44/12</f>
        <v>1.6004217754659603E-7</v>
      </c>
      <c r="BS129" s="22">
        <f t="shared" si="63"/>
        <v>22.622816370261937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5.6</v>
      </c>
      <c r="CT129" s="12">
        <f>IF('Données projet'!$A$140&gt;35,CT128+CS129-DB128,IF(A129&lt;'Données projet'!$A$140,$CQ$205^A129,IF(A129='Données projet'!$A$140,'Données projet'!$B$140,CT128+CS129-DB128)))</f>
        <v>285.80000000000007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1389.5971183217146</v>
      </c>
      <c r="S130" s="59">
        <f ca="1">AVERAGE(OFFSET($R$3,0,0,'Données projet'!$E$9+1,1))-AVERAGE(OFFSET($H$3,0,0,'Données projet'!$E$9+1,1))</f>
        <v>737.40414421611001</v>
      </c>
      <c r="T130" s="59">
        <f t="shared" si="88"/>
        <v>245.32893490531674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377.28055430105911</v>
      </c>
      <c r="AO130" s="59">
        <f t="shared" si="90"/>
        <v>364.58250627635425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20.493372826505894</v>
      </c>
      <c r="AV130" s="21">
        <f>EXP(-LN(2)/25)*AV129+(1-EXP(-LN(2)/25))/(LN(2)/25)*Calculateur!AQ130*Calculateur!AS130*VLOOKUP('Données projet'!$B$10,Paramètres!$A$1:$I$89,3,0)*0.475*44/12</f>
        <v>13.943826242659734</v>
      </c>
      <c r="AW130" s="21">
        <f>EXP(-LN(2)/2)*AW129+(1-EXP(-LN(2)/2))/(LN(2)/2)*AQ130*AT130*VLOOKUP('Données projet'!$B$10,Paramètres!$A$1:$I$89,3,0)*0.475*44/12</f>
        <v>5.2617239373035189E-6</v>
      </c>
      <c r="AX130" s="21">
        <f t="shared" si="60"/>
        <v>34.437204330889564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4.4337866711430253E-14</v>
      </c>
      <c r="BF130" s="13">
        <f t="shared" si="91"/>
        <v>7.3222115536967035E-13</v>
      </c>
      <c r="BG130" s="20">
        <f t="shared" si="61"/>
        <v>1.3525069634579169E-12</v>
      </c>
      <c r="BH130" s="59">
        <f t="shared" si="62"/>
        <v>283.40235685907879</v>
      </c>
      <c r="BI130" s="59">
        <f ca="1">AVERAGE(OFFSET($BH$3,0,0,'Données projet'!$E$11+1,1))-AVERAGE(OFFSET($H$3,0,0,'Données projet'!$E$11+1,1))</f>
        <v>308.85018589589453</v>
      </c>
      <c r="BJ130" s="59">
        <f t="shared" si="92"/>
        <v>302.59481222418219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13.633407237635026</v>
      </c>
      <c r="BQ130" s="21">
        <f>EXP(-LN(2)/25)*BQ129+(1-EXP(-LN(2)/25))/(LN(2)/25)*Calculateur!BL130*Calculateur!BN130*VLOOKUP('Données projet'!$B$11,Paramètres!$A$1:$I$89,3,0)*0.475*44/12</f>
        <v>8.4783597496091279</v>
      </c>
      <c r="BR130" s="21">
        <f>EXP(-LN(2)/2)*BR129+(1-EXP(-LN(2)/2))/(LN(2)/2)*BL130*BO130*VLOOKUP('Données projet'!$B$11,Paramètres!$A$1:$I$89,3,0)*0.475*44/12</f>
        <v>1.1316690901905947E-7</v>
      </c>
      <c r="BS130" s="22">
        <f t="shared" si="63"/>
        <v>22.111767100411061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5.6</v>
      </c>
      <c r="CT130" s="12">
        <f>IF('Données projet'!$A$140&gt;35,CT129+CS130-DB129,IF(A130&lt;'Données projet'!$A$140,$CQ$205^A130,IF(A130='Données projet'!$A$140,'Données projet'!$B$140,CT129+CS130-DB129)))</f>
        <v>291.40000000000009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1410.030239129469</v>
      </c>
      <c r="S131" s="59">
        <f ca="1">AVERAGE(OFFSET($R$3,0,0,'Données projet'!$E$9+1,1))-AVERAGE(OFFSET($H$3,0,0,'Données projet'!$E$9+1,1))</f>
        <v>737.40414421611001</v>
      </c>
      <c r="T131" s="59">
        <f t="shared" si="88"/>
        <v>245.32893490531674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377.28055430105911</v>
      </c>
      <c r="AO131" s="59">
        <f t="shared" si="90"/>
        <v>364.58250627635425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20.091510285101293</v>
      </c>
      <c r="AV131" s="21">
        <f>EXP(-LN(2)/25)*AV130+(1-EXP(-LN(2)/25))/(LN(2)/25)*Calculateur!AQ131*Calculateur!AS131*VLOOKUP('Données projet'!$B$10,Paramètres!$A$1:$I$89,3,0)*0.475*44/12</f>
        <v>13.56253158078025</v>
      </c>
      <c r="AW131" s="21">
        <f>EXP(-LN(2)/2)*AW130+(1-EXP(-LN(2)/2))/(LN(2)/2)*AQ131*AT131*VLOOKUP('Données projet'!$B$10,Paramètres!$A$1:$I$89,3,0)*0.475*44/12</f>
        <v>3.7206006767988989E-6</v>
      </c>
      <c r="AX131" s="21">
        <f t="shared" si="60"/>
        <v>33.654045586482219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4.4337866711430253E-14</v>
      </c>
      <c r="BF131" s="13">
        <f t="shared" si="91"/>
        <v>7.3222115536967035E-13</v>
      </c>
      <c r="BG131" s="20">
        <f t="shared" si="61"/>
        <v>1.3525069634579169E-12</v>
      </c>
      <c r="BH131" s="59">
        <f t="shared" si="62"/>
        <v>283.57463709856989</v>
      </c>
      <c r="BI131" s="59">
        <f ca="1">AVERAGE(OFFSET($BH$3,0,0,'Données projet'!$E$11+1,1))-AVERAGE(OFFSET($H$3,0,0,'Données projet'!$E$11+1,1))</f>
        <v>308.85018589589453</v>
      </c>
      <c r="BJ131" s="59">
        <f t="shared" si="92"/>
        <v>302.59481222418219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13.366064437262326</v>
      </c>
      <c r="BQ131" s="21">
        <f>EXP(-LN(2)/25)*BQ130+(1-EXP(-LN(2)/25))/(LN(2)/25)*Calculateur!BL131*Calculateur!BN131*VLOOKUP('Données projet'!$B$11,Paramètres!$A$1:$I$89,3,0)*0.475*44/12</f>
        <v>8.2465185563985042</v>
      </c>
      <c r="BR131" s="21">
        <f>EXP(-LN(2)/2)*BR130+(1-EXP(-LN(2)/2))/(LN(2)/2)*BL131*BO131*VLOOKUP('Données projet'!$B$11,Paramètres!$A$1:$I$89,3,0)*0.475*44/12</f>
        <v>8.0021088773298015E-8</v>
      </c>
      <c r="BS131" s="22">
        <f t="shared" si="63"/>
        <v>21.612583073681918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>
        <f>VLOOKUP(A131,'Données projet'!$A$139:$I$159,2,0)</f>
        <v>297</v>
      </c>
      <c r="CR131" s="12">
        <f>VLOOKUP(A131,'Données projet'!$A$139:$I$159,9,0)</f>
        <v>5.6</v>
      </c>
      <c r="CS131" s="12">
        <f t="array" ref="CS131">INDEX(CR:CR,MIN(IF(ISNUMBER(CR131:CR327),ROW(CR131:CR327),"")))</f>
        <v>5.6</v>
      </c>
      <c r="CT131" s="12">
        <f>IF('Données projet'!$A$140&gt;35,CT130+CS131-DB130,IF(A131&lt;'Données projet'!$A$140,$CQ$205^A131,IF(A131='Données projet'!$A$140,'Données projet'!$B$140,CT130+CS131-DB130)))</f>
        <v>297.00000000000011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11</v>
      </c>
      <c r="DB131" s="15">
        <f>IF(ISNA(VLOOKUP(A131,'Données projet'!$A$139:$I$159,4,0)),0,VLOOKUP(A131,'Données projet'!$A$139:$I$159,4,0))</f>
        <v>39</v>
      </c>
      <c r="DC131" s="16" t="e">
        <f>IF(ISNA(VLOOKUP(A131,'Données projet'!$A$139:$I$159,5,0)),0%,VLOOKUP(A131,'Données projet'!$A$139:$I$159,5,0)*VLOOKUP('Données projet'!$B$13,Paramètres!$A$1:$I$89,7,0))</f>
        <v>#N/A</v>
      </c>
      <c r="DD131" s="16" t="e">
        <f>IF(ISNA(VLOOKUP(A131,'Données projet'!$A$139:$I$159,6,0)),0%,VLOOKUP(A131,'Données projet'!$A$139:$I$159,6,0)*VLOOKUP('Données projet'!$B$13,Paramètres!$A$1:$I$89,7,0))</f>
        <v>#N/A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1430.4532644722774</v>
      </c>
      <c r="S132" s="59">
        <f ca="1">AVERAGE(OFFSET($R$3,0,0,'Données projet'!$E$9+1,1))-AVERAGE(OFFSET($H$3,0,0,'Données projet'!$E$9+1,1))</f>
        <v>737.40414421611001</v>
      </c>
      <c r="T132" s="59">
        <f t="shared" si="88"/>
        <v>245.32893490531674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377.28055430105911</v>
      </c>
      <c r="AO132" s="59">
        <f t="shared" si="90"/>
        <v>364.58250627635425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19.69752802302169</v>
      </c>
      <c r="AV132" s="21">
        <f>EXP(-LN(2)/25)*AV131+(1-EXP(-LN(2)/25))/(LN(2)/25)*Calculateur!AQ132*Calculateur!AS132*VLOOKUP('Données projet'!$B$10,Paramètres!$A$1:$I$89,3,0)*0.475*44/12</f>
        <v>13.191663441481277</v>
      </c>
      <c r="AW132" s="21">
        <f>EXP(-LN(2)/2)*AW131+(1-EXP(-LN(2)/2))/(LN(2)/2)*AQ132*AT132*VLOOKUP('Données projet'!$B$10,Paramètres!$A$1:$I$89,3,0)*0.475*44/12</f>
        <v>2.6308619686517599E-6</v>
      </c>
      <c r="AX132" s="21">
        <f t="shared" ref="AX132:AX153" si="114">SUM(AU132:AW132)</f>
        <v>32.889194095364935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4.4337866711430253E-14</v>
      </c>
      <c r="BF132" s="13">
        <f t="shared" si="91"/>
        <v>7.3222115536967035E-13</v>
      </c>
      <c r="BG132" s="20">
        <f t="shared" ref="BG132:BG153" si="115">(BE132+BF132)*0.475*44/12</f>
        <v>1.3525069634579169E-12</v>
      </c>
      <c r="BH132" s="59">
        <f t="shared" ref="BH132:BH195" si="116">BG132+(AY132+AZ132)*44/12</f>
        <v>283.74392866106672</v>
      </c>
      <c r="BI132" s="59">
        <f ca="1">AVERAGE(OFFSET($BH$3,0,0,'Données projet'!$E$11+1,1))-AVERAGE(OFFSET($H$3,0,0,'Données projet'!$E$11+1,1))</f>
        <v>308.85018589589453</v>
      </c>
      <c r="BJ132" s="59">
        <f t="shared" si="92"/>
        <v>302.59481222418219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13.103964066141927</v>
      </c>
      <c r="BQ132" s="21">
        <f>EXP(-LN(2)/25)*BQ131+(1-EXP(-LN(2)/25))/(LN(2)/25)*Calculateur!BL132*Calculateur!BN132*VLOOKUP('Données projet'!$B$11,Paramètres!$A$1:$I$89,3,0)*0.475*44/12</f>
        <v>8.021017072808224</v>
      </c>
      <c r="BR132" s="21">
        <f>EXP(-LN(2)/2)*BR131+(1-EXP(-LN(2)/2))/(LN(2)/2)*BL132*BO132*VLOOKUP('Données projet'!$B$11,Paramètres!$A$1:$I$89,3,0)*0.475*44/12</f>
        <v>5.6583454509529735E-8</v>
      </c>
      <c r="BS132" s="22">
        <f t="shared" ref="BS132:BS153" si="117">SUM(BP132:BR132)</f>
        <v>21.124981195533607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5.7</v>
      </c>
      <c r="CT132" s="12">
        <f>IF('Données projet'!$A$140&gt;35,CT131+CS132-DB131,IF(A132&lt;'Données projet'!$A$140,$CQ$205^A132,IF(A132='Données projet'!$A$140,'Données projet'!$B$140,CT131+CS132-DB131)))</f>
        <v>263.7000000000001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1450.8663891951021</v>
      </c>
      <c r="S133" s="59">
        <f ca="1">AVERAGE(OFFSET($R$3,0,0,'Données projet'!$E$9+1,1))-AVERAGE(OFFSET($H$3,0,0,'Données projet'!$E$9+1,1))</f>
        <v>737.40414421611001</v>
      </c>
      <c r="T133" s="59">
        <f t="shared" ref="T133:T196" si="142">$T$3</f>
        <v>245.32893490531674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377.28055430105911</v>
      </c>
      <c r="AO133" s="59">
        <f t="shared" ref="AO133:AO196" si="144">$AO$3</f>
        <v>364.58250627635425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19.311271512796015</v>
      </c>
      <c r="AV133" s="21">
        <f>EXP(-LN(2)/25)*AV132+(1-EXP(-LN(2)/25))/(LN(2)/25)*Calculateur!AQ133*Calculateur!AS133*VLOOKUP('Données projet'!$B$10,Paramètres!$A$1:$I$89,3,0)*0.475*44/12</f>
        <v>12.830936710954541</v>
      </c>
      <c r="AW133" s="21">
        <f>EXP(-LN(2)/2)*AW132+(1-EXP(-LN(2)/2))/(LN(2)/2)*AQ133*AT133*VLOOKUP('Données projet'!$B$10,Paramètres!$A$1:$I$89,3,0)*0.475*44/12</f>
        <v>1.8603003383994497E-6</v>
      </c>
      <c r="AX133" s="21">
        <f t="shared" si="114"/>
        <v>32.142210084050895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4.4337866711430253E-14</v>
      </c>
      <c r="BF133" s="13">
        <f t="shared" ref="BF133:BF153" si="145">EXP(-1.0587+0.8836*LN(BE133)+0.284)</f>
        <v>7.3222115536967035E-13</v>
      </c>
      <c r="BG133" s="20">
        <f t="shared" si="115"/>
        <v>1.3525069634579169E-12</v>
      </c>
      <c r="BH133" s="59">
        <f t="shared" si="116"/>
        <v>283.91028339343347</v>
      </c>
      <c r="BI133" s="59">
        <f ca="1">AVERAGE(OFFSET($BH$3,0,0,'Données projet'!$E$11+1,1))-AVERAGE(OFFSET($H$3,0,0,'Données projet'!$E$11+1,1))</f>
        <v>308.85018589589453</v>
      </c>
      <c r="BJ133" s="59">
        <f t="shared" ref="BJ133:BJ196" si="146">$BJ$3</f>
        <v>302.59481222418219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12.847003323433757</v>
      </c>
      <c r="BQ133" s="21">
        <f>EXP(-LN(2)/25)*BQ132+(1-EXP(-LN(2)/25))/(LN(2)/25)*Calculateur!BL133*Calculateur!BN133*VLOOKUP('Données projet'!$B$11,Paramètres!$A$1:$I$89,3,0)*0.475*44/12</f>
        <v>7.8016819391453271</v>
      </c>
      <c r="BR133" s="21">
        <f>EXP(-LN(2)/2)*BR132+(1-EXP(-LN(2)/2))/(LN(2)/2)*BL133*BO133*VLOOKUP('Données projet'!$B$11,Paramètres!$A$1:$I$89,3,0)*0.475*44/12</f>
        <v>4.0010544386649008E-8</v>
      </c>
      <c r="BS133" s="22">
        <f t="shared" si="117"/>
        <v>20.64868530258963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5.7</v>
      </c>
      <c r="CT133" s="12">
        <f>IF('Données projet'!$A$140&gt;35,CT132+CS133-DB132,IF(A133&lt;'Données projet'!$A$140,$CQ$205^A133,IF(A133='Données projet'!$A$140,'Données projet'!$B$140,CT132+CS133-DB132)))</f>
        <v>269.40000000000009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1328.5356547771471</v>
      </c>
      <c r="S134" s="59">
        <f ca="1">AVERAGE(OFFSET($R$3,0,0,'Données projet'!$E$9+1,1))-AVERAGE(OFFSET($H$3,0,0,'Données projet'!$E$9+1,1))</f>
        <v>737.40414421611001</v>
      </c>
      <c r="T134" s="59">
        <f t="shared" si="142"/>
        <v>245.32893490531674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377.28055430105911</v>
      </c>
      <c r="AO134" s="59">
        <f t="shared" si="144"/>
        <v>364.58250627635425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18.932589257142656</v>
      </c>
      <c r="AV134" s="21">
        <f>EXP(-LN(2)/25)*AV133+(1-EXP(-LN(2)/25))/(LN(2)/25)*Calculateur!AQ134*Calculateur!AS134*VLOOKUP('Données projet'!$B$10,Paramètres!$A$1:$I$89,3,0)*0.475*44/12</f>
        <v>12.480074071843854</v>
      </c>
      <c r="AW134" s="21">
        <f>EXP(-LN(2)/2)*AW133+(1-EXP(-LN(2)/2))/(LN(2)/2)*AQ134*AT134*VLOOKUP('Données projet'!$B$10,Paramètres!$A$1:$I$89,3,0)*0.475*44/12</f>
        <v>1.3154309843258801E-6</v>
      </c>
      <c r="AX134" s="21">
        <f t="shared" si="114"/>
        <v>31.412664644417497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4.4337866711430253E-14</v>
      </c>
      <c r="BF134" s="13">
        <f t="shared" si="145"/>
        <v>7.3222115536967035E-13</v>
      </c>
      <c r="BG134" s="20">
        <f t="shared" si="115"/>
        <v>1.3525069634579169E-12</v>
      </c>
      <c r="BH134" s="59">
        <f t="shared" si="116"/>
        <v>284.07375224310709</v>
      </c>
      <c r="BI134" s="59">
        <f ca="1">AVERAGE(OFFSET($BH$3,0,0,'Données projet'!$E$11+1,1))-AVERAGE(OFFSET($H$3,0,0,'Données projet'!$E$11+1,1))</f>
        <v>308.85018589589453</v>
      </c>
      <c r="BJ134" s="59">
        <f t="shared" si="146"/>
        <v>302.59481222418219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12.595081424159517</v>
      </c>
      <c r="BQ134" s="21">
        <f>EXP(-LN(2)/25)*BQ133+(1-EXP(-LN(2)/25))/(LN(2)/25)*Calculateur!BL134*Calculateur!BN134*VLOOKUP('Données projet'!$B$11,Paramètres!$A$1:$I$89,3,0)*0.475*44/12</f>
        <v>7.5883445362467761</v>
      </c>
      <c r="BR134" s="21">
        <f>EXP(-LN(2)/2)*BR133+(1-EXP(-LN(2)/2))/(LN(2)/2)*BL134*BO134*VLOOKUP('Données projet'!$B$11,Paramètres!$A$1:$I$89,3,0)*0.475*44/12</f>
        <v>2.8291727254764867E-8</v>
      </c>
      <c r="BS134" s="22">
        <f t="shared" si="117"/>
        <v>20.183425988698019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5.7</v>
      </c>
      <c r="CT134" s="12">
        <f>IF('Données projet'!$A$140&gt;35,CT133+CS134-DB133,IF(A134&lt;'Données projet'!$A$140,$CQ$205^A134,IF(A134='Données projet'!$A$140,'Données projet'!$B$140,CT133+CS134-DB133)))</f>
        <v>275.10000000000008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1349.164650226096</v>
      </c>
      <c r="S135" s="59">
        <f ca="1">AVERAGE(OFFSET($R$3,0,0,'Données projet'!$E$9+1,1))-AVERAGE(OFFSET($H$3,0,0,'Données projet'!$E$9+1,1))</f>
        <v>737.40414421611001</v>
      </c>
      <c r="T135" s="59">
        <f t="shared" si="142"/>
        <v>245.32893490531674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377.28055430105911</v>
      </c>
      <c r="AO135" s="59">
        <f t="shared" si="144"/>
        <v>364.58250627635425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18.561332729549292</v>
      </c>
      <c r="AV135" s="21">
        <f>EXP(-LN(2)/25)*AV134+(1-EXP(-LN(2)/25))/(LN(2)/25)*Calculateur!AQ135*Calculateur!AS135*VLOOKUP('Données projet'!$B$10,Paramètres!$A$1:$I$89,3,0)*0.475*44/12</f>
        <v>12.138805790050712</v>
      </c>
      <c r="AW135" s="21">
        <f>EXP(-LN(2)/2)*AW134+(1-EXP(-LN(2)/2))/(LN(2)/2)*AQ135*AT135*VLOOKUP('Données projet'!$B$10,Paramètres!$A$1:$I$89,3,0)*0.475*44/12</f>
        <v>9.3015016919972505E-7</v>
      </c>
      <c r="AX135" s="21">
        <f t="shared" si="114"/>
        <v>30.700139449750171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4.4337866711430253E-14</v>
      </c>
      <c r="BF135" s="13">
        <f t="shared" si="145"/>
        <v>7.3222115536967035E-13</v>
      </c>
      <c r="BG135" s="20">
        <f t="shared" si="115"/>
        <v>1.3525069634579169E-12</v>
      </c>
      <c r="BH135" s="59">
        <f t="shared" si="116"/>
        <v>284.23438527370052</v>
      </c>
      <c r="BI135" s="59">
        <f ca="1">AVERAGE(OFFSET($BH$3,0,0,'Données projet'!$E$11+1,1))-AVERAGE(OFFSET($H$3,0,0,'Données projet'!$E$11+1,1))</f>
        <v>308.85018589589453</v>
      </c>
      <c r="BJ135" s="59">
        <f t="shared" si="146"/>
        <v>302.59481222418219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12.348099559672859</v>
      </c>
      <c r="BQ135" s="21">
        <f>EXP(-LN(2)/25)*BQ134+(1-EXP(-LN(2)/25))/(LN(2)/25)*Calculateur!BL135*Calculateur!BN135*VLOOKUP('Données projet'!$B$11,Paramètres!$A$1:$I$89,3,0)*0.475*44/12</f>
        <v>7.3808408558494119</v>
      </c>
      <c r="BR135" s="21">
        <f>EXP(-LN(2)/2)*BR134+(1-EXP(-LN(2)/2))/(LN(2)/2)*BL135*BO135*VLOOKUP('Données projet'!$B$11,Paramètres!$A$1:$I$89,3,0)*0.475*44/12</f>
        <v>2.0005272193324504E-8</v>
      </c>
      <c r="BS135" s="22">
        <f t="shared" si="117"/>
        <v>19.728940435527544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5.7</v>
      </c>
      <c r="CT135" s="12">
        <f>IF('Données projet'!$A$140&gt;35,CT134+CS135-DB134,IF(A135&lt;'Données projet'!$A$140,$CQ$205^A135,IF(A135='Données projet'!$A$140,'Données projet'!$B$140,CT134+CS135-DB134)))</f>
        <v>280.80000000000007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1369.7831431760178</v>
      </c>
      <c r="S136" s="59">
        <f ca="1">AVERAGE(OFFSET($R$3,0,0,'Données projet'!$E$9+1,1))-AVERAGE(OFFSET($H$3,0,0,'Données projet'!$E$9+1,1))</f>
        <v>737.40414421611001</v>
      </c>
      <c r="T136" s="59">
        <f t="shared" si="142"/>
        <v>245.32893490531674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377.28055430105911</v>
      </c>
      <c r="AO136" s="59">
        <f t="shared" si="144"/>
        <v>364.58250627635425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18.19735631601791</v>
      </c>
      <c r="AV136" s="21">
        <f>EXP(-LN(2)/25)*AV135+(1-EXP(-LN(2)/25))/(LN(2)/25)*Calculateur!AQ136*Calculateur!AS136*VLOOKUP('Données projet'!$B$10,Paramètres!$A$1:$I$89,3,0)*0.475*44/12</f>
        <v>11.806869507369722</v>
      </c>
      <c r="AW136" s="21">
        <f>EXP(-LN(2)/2)*AW135+(1-EXP(-LN(2)/2))/(LN(2)/2)*AQ136*AT136*VLOOKUP('Données projet'!$B$10,Paramètres!$A$1:$I$89,3,0)*0.475*44/12</f>
        <v>6.5771549216294018E-7</v>
      </c>
      <c r="AX136" s="21">
        <f t="shared" si="114"/>
        <v>30.004226481103125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4.4337866711430253E-14</v>
      </c>
      <c r="BF136" s="13">
        <f t="shared" si="145"/>
        <v>7.3222115536967035E-13</v>
      </c>
      <c r="BG136" s="20">
        <f t="shared" si="115"/>
        <v>1.3525069634579169E-12</v>
      </c>
      <c r="BH136" s="59">
        <f t="shared" si="116"/>
        <v>284.39223168033476</v>
      </c>
      <c r="BI136" s="59">
        <f ca="1">AVERAGE(OFFSET($BH$3,0,0,'Données projet'!$E$11+1,1))-AVERAGE(OFFSET($H$3,0,0,'Données projet'!$E$11+1,1))</f>
        <v>308.85018589589453</v>
      </c>
      <c r="BJ136" s="59">
        <f t="shared" si="146"/>
        <v>302.59481222418219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12.105960858904721</v>
      </c>
      <c r="BQ136" s="21">
        <f>EXP(-LN(2)/25)*BQ135+(1-EXP(-LN(2)/25))/(LN(2)/25)*Calculateur!BL136*Calculateur!BN136*VLOOKUP('Données projet'!$B$11,Paramètres!$A$1:$I$89,3,0)*0.475*44/12</f>
        <v>7.1790113745046584</v>
      </c>
      <c r="BR136" s="21">
        <f>EXP(-LN(2)/2)*BR135+(1-EXP(-LN(2)/2))/(LN(2)/2)*BL136*BO136*VLOOKUP('Données projet'!$B$11,Paramètres!$A$1:$I$89,3,0)*0.475*44/12</f>
        <v>1.4145863627382434E-8</v>
      </c>
      <c r="BS136" s="22">
        <f t="shared" si="117"/>
        <v>19.284972247555245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5.7</v>
      </c>
      <c r="CT136" s="12">
        <f>IF('Données projet'!$A$140&gt;35,CT135+CS136-DB135,IF(A136&lt;'Données projet'!$A$140,$CQ$205^A136,IF(A136='Données projet'!$A$140,'Données projet'!$B$140,CT135+CS136-DB135)))</f>
        <v>286.50000000000006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1390.3913476768578</v>
      </c>
      <c r="S137" s="59">
        <f ca="1">AVERAGE(OFFSET($R$3,0,0,'Données projet'!$E$9+1,1))-AVERAGE(OFFSET($H$3,0,0,'Données projet'!$E$9+1,1))</f>
        <v>737.40414421611001</v>
      </c>
      <c r="T137" s="59">
        <f t="shared" si="142"/>
        <v>245.32893490531674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377.28055430105911</v>
      </c>
      <c r="AO137" s="59">
        <f t="shared" si="144"/>
        <v>364.58250627635425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17.840517257952186</v>
      </c>
      <c r="AV137" s="21">
        <f>EXP(-LN(2)/25)*AV136+(1-EXP(-LN(2)/25))/(LN(2)/25)*Calculateur!AQ137*Calculateur!AS137*VLOOKUP('Données projet'!$B$10,Paramètres!$A$1:$I$89,3,0)*0.475*44/12</f>
        <v>11.484010039794414</v>
      </c>
      <c r="AW137" s="21">
        <f>EXP(-LN(2)/2)*AW136+(1-EXP(-LN(2)/2))/(LN(2)/2)*AQ137*AT137*VLOOKUP('Données projet'!$B$10,Paramètres!$A$1:$I$89,3,0)*0.475*44/12</f>
        <v>4.6507508459986258E-7</v>
      </c>
      <c r="AX137" s="21">
        <f t="shared" si="114"/>
        <v>29.324527762821685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4.4337866711430253E-14</v>
      </c>
      <c r="BF137" s="13">
        <f t="shared" si="145"/>
        <v>7.3222115536967035E-13</v>
      </c>
      <c r="BG137" s="20">
        <f t="shared" si="115"/>
        <v>1.3525069634579169E-12</v>
      </c>
      <c r="BH137" s="59">
        <f t="shared" si="116"/>
        <v>284.54733980470564</v>
      </c>
      <c r="BI137" s="59">
        <f ca="1">AVERAGE(OFFSET($BH$3,0,0,'Données projet'!$E$11+1,1))-AVERAGE(OFFSET($H$3,0,0,'Données projet'!$E$11+1,1))</f>
        <v>308.85018589589453</v>
      </c>
      <c r="BJ137" s="59">
        <f t="shared" si="146"/>
        <v>302.59481222418219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11.868570350368623</v>
      </c>
      <c r="BQ137" s="21">
        <f>EXP(-LN(2)/25)*BQ136+(1-EXP(-LN(2)/25))/(LN(2)/25)*Calculateur!BL137*Calculateur!BN137*VLOOKUP('Données projet'!$B$11,Paramètres!$A$1:$I$89,3,0)*0.475*44/12</f>
        <v>6.9827009309410286</v>
      </c>
      <c r="BR137" s="21">
        <f>EXP(-LN(2)/2)*BR136+(1-EXP(-LN(2)/2))/(LN(2)/2)*BL137*BO137*VLOOKUP('Données projet'!$B$11,Paramètres!$A$1:$I$89,3,0)*0.475*44/12</f>
        <v>1.0002636096662252E-8</v>
      </c>
      <c r="BS137" s="22">
        <f t="shared" si="117"/>
        <v>18.851271291312287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5.7</v>
      </c>
      <c r="CT137" s="12">
        <f>IF('Données projet'!$A$140&gt;35,CT136+CS137-DB136,IF(A137&lt;'Données projet'!$A$140,$CQ$205^A137,IF(A137='Données projet'!$A$140,'Données projet'!$B$140,CT136+CS137-DB136)))</f>
        <v>292.20000000000005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1410.9894703203668</v>
      </c>
      <c r="S138" s="59">
        <f ca="1">AVERAGE(OFFSET($R$3,0,0,'Données projet'!$E$9+1,1))-AVERAGE(OFFSET($H$3,0,0,'Données projet'!$E$9+1,1))</f>
        <v>737.40414421611001</v>
      </c>
      <c r="T138" s="59">
        <f t="shared" si="142"/>
        <v>245.32893490531674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377.28055430105911</v>
      </c>
      <c r="AO138" s="59">
        <f t="shared" si="144"/>
        <v>364.58250627635425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17.490675596164799</v>
      </c>
      <c r="AV138" s="21">
        <f>EXP(-LN(2)/25)*AV137+(1-EXP(-LN(2)/25))/(LN(2)/25)*Calculateur!AQ138*Calculateur!AS138*VLOOKUP('Données projet'!$B$10,Paramètres!$A$1:$I$89,3,0)*0.475*44/12</f>
        <v>11.169979181338395</v>
      </c>
      <c r="AW138" s="21">
        <f>EXP(-LN(2)/2)*AW137+(1-EXP(-LN(2)/2))/(LN(2)/2)*AQ138*AT138*VLOOKUP('Données projet'!$B$10,Paramètres!$A$1:$I$89,3,0)*0.475*44/12</f>
        <v>3.2885774608147014E-7</v>
      </c>
      <c r="AX138" s="21">
        <f t="shared" si="114"/>
        <v>28.660655106360938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4.4337866711430253E-14</v>
      </c>
      <c r="BF138" s="13">
        <f t="shared" si="145"/>
        <v>7.3222115536967035E-13</v>
      </c>
      <c r="BG138" s="20">
        <f t="shared" si="115"/>
        <v>1.3525069634579169E-12</v>
      </c>
      <c r="BH138" s="59">
        <f t="shared" si="116"/>
        <v>284.69975714988851</v>
      </c>
      <c r="BI138" s="59">
        <f ca="1">AVERAGE(OFFSET($BH$3,0,0,'Données projet'!$E$11+1,1))-AVERAGE(OFFSET($H$3,0,0,'Données projet'!$E$11+1,1))</f>
        <v>308.85018589589453</v>
      </c>
      <c r="BJ138" s="59">
        <f t="shared" si="146"/>
        <v>302.59481222418219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11.635834924911006</v>
      </c>
      <c r="BQ138" s="21">
        <f>EXP(-LN(2)/25)*BQ137+(1-EXP(-LN(2)/25))/(LN(2)/25)*Calculateur!BL138*Calculateur!BN138*VLOOKUP('Données projet'!$B$11,Paramètres!$A$1:$I$89,3,0)*0.475*44/12</f>
        <v>6.7917586067801636</v>
      </c>
      <c r="BR138" s="21">
        <f>EXP(-LN(2)/2)*BR137+(1-EXP(-LN(2)/2))/(LN(2)/2)*BL138*BO138*VLOOKUP('Données projet'!$B$11,Paramètres!$A$1:$I$89,3,0)*0.475*44/12</f>
        <v>7.0729318136912169E-9</v>
      </c>
      <c r="BS138" s="22">
        <f t="shared" si="117"/>
        <v>18.4275935387641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5.7</v>
      </c>
      <c r="CT138" s="12">
        <f>IF('Données projet'!$A$140&gt;35,CT137+CS138-DB137,IF(A138&lt;'Données projet'!$A$140,$CQ$205^A138,IF(A138='Données projet'!$A$140,'Données projet'!$B$140,CT137+CS138-DB137)))</f>
        <v>297.90000000000003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1431.5777106368337</v>
      </c>
      <c r="S139" s="59">
        <f ca="1">AVERAGE(OFFSET($R$3,0,0,'Données projet'!$E$9+1,1))-AVERAGE(OFFSET($H$3,0,0,'Données projet'!$E$9+1,1))</f>
        <v>737.40414421611001</v>
      </c>
      <c r="T139" s="59">
        <f t="shared" si="142"/>
        <v>245.32893490531674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377.28055430105911</v>
      </c>
      <c r="AO139" s="59">
        <f t="shared" si="144"/>
        <v>364.58250627635425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17.147694115982716</v>
      </c>
      <c r="AV139" s="21">
        <f>EXP(-LN(2)/25)*AV138+(1-EXP(-LN(2)/25))/(LN(2)/25)*Calculateur!AQ139*Calculateur!AS139*VLOOKUP('Données projet'!$B$10,Paramètres!$A$1:$I$89,3,0)*0.475*44/12</f>
        <v>10.864535513221021</v>
      </c>
      <c r="AW139" s="21">
        <f>EXP(-LN(2)/2)*AW138+(1-EXP(-LN(2)/2))/(LN(2)/2)*AQ139*AT139*VLOOKUP('Données projet'!$B$10,Paramètres!$A$1:$I$89,3,0)*0.475*44/12</f>
        <v>2.3253754229993132E-7</v>
      </c>
      <c r="AX139" s="21">
        <f t="shared" si="114"/>
        <v>28.012229861741279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4.4337866711430253E-14</v>
      </c>
      <c r="BF139" s="13">
        <f t="shared" si="145"/>
        <v>7.3222115536967035E-13</v>
      </c>
      <c r="BG139" s="20">
        <f t="shared" si="115"/>
        <v>1.3525069634579169E-12</v>
      </c>
      <c r="BH139" s="59">
        <f t="shared" si="116"/>
        <v>284.84953039488659</v>
      </c>
      <c r="BI139" s="59">
        <f ca="1">AVERAGE(OFFSET($BH$3,0,0,'Données projet'!$E$11+1,1))-AVERAGE(OFFSET($H$3,0,0,'Données projet'!$E$11+1,1))</f>
        <v>308.85018589589453</v>
      </c>
      <c r="BJ139" s="59">
        <f t="shared" si="146"/>
        <v>302.59481222418219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11.407663299192018</v>
      </c>
      <c r="BQ139" s="21">
        <f>EXP(-LN(2)/25)*BQ138+(1-EXP(-LN(2)/25))/(LN(2)/25)*Calculateur!BL139*Calculateur!BN139*VLOOKUP('Données projet'!$B$11,Paramètres!$A$1:$I$89,3,0)*0.475*44/12</f>
        <v>6.6060376105146981</v>
      </c>
      <c r="BR139" s="21">
        <f>EXP(-LN(2)/2)*BR138+(1-EXP(-LN(2)/2))/(LN(2)/2)*BL139*BO139*VLOOKUP('Données projet'!$B$11,Paramètres!$A$1:$I$89,3,0)*0.475*44/12</f>
        <v>5.0013180483311259E-9</v>
      </c>
      <c r="BS139" s="22">
        <f t="shared" si="117"/>
        <v>18.013700914708036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5.7</v>
      </c>
      <c r="CT139" s="12">
        <f>IF('Données projet'!$A$140&gt;35,CT138+CS139-DB138,IF(A139&lt;'Données projet'!$A$140,$CQ$205^A139,IF(A139='Données projet'!$A$140,'Données projet'!$B$140,CT138+CS139-DB138)))</f>
        <v>303.60000000000002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1452.1562614629502</v>
      </c>
      <c r="S140" s="59">
        <f ca="1">AVERAGE(OFFSET($R$3,0,0,'Données projet'!$E$9+1,1))-AVERAGE(OFFSET($H$3,0,0,'Données projet'!$E$9+1,1))</f>
        <v>737.40414421611001</v>
      </c>
      <c r="T140" s="59">
        <f t="shared" si="142"/>
        <v>245.32893490531674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377.28055430105911</v>
      </c>
      <c r="AO140" s="59">
        <f t="shared" si="144"/>
        <v>364.58250627635425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16.81143829342896</v>
      </c>
      <c r="AV140" s="21">
        <f>EXP(-LN(2)/25)*AV139+(1-EXP(-LN(2)/25))/(LN(2)/25)*Calculateur!AQ140*Calculateur!AS140*VLOOKUP('Données projet'!$B$10,Paramètres!$A$1:$I$89,3,0)*0.475*44/12</f>
        <v>10.567444218270902</v>
      </c>
      <c r="AW140" s="21">
        <f>EXP(-LN(2)/2)*AW139+(1-EXP(-LN(2)/2))/(LN(2)/2)*AQ140*AT140*VLOOKUP('Données projet'!$B$10,Paramètres!$A$1:$I$89,3,0)*0.475*44/12</f>
        <v>1.6442887304073507E-7</v>
      </c>
      <c r="AX140" s="21">
        <f t="shared" si="114"/>
        <v>27.378882676128736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4.4337866711430253E-14</v>
      </c>
      <c r="BF140" s="13">
        <f t="shared" si="145"/>
        <v>7.3222115536967035E-13</v>
      </c>
      <c r="BG140" s="20">
        <f t="shared" si="115"/>
        <v>1.3525069634579169E-12</v>
      </c>
      <c r="BH140" s="59">
        <f t="shared" si="116"/>
        <v>284.99670540892674</v>
      </c>
      <c r="BI140" s="59">
        <f ca="1">AVERAGE(OFFSET($BH$3,0,0,'Données projet'!$E$11+1,1))-AVERAGE(OFFSET($H$3,0,0,'Données projet'!$E$11+1,1))</f>
        <v>308.85018589589453</v>
      </c>
      <c r="BJ140" s="59">
        <f t="shared" si="146"/>
        <v>302.59481222418219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11.183965979882432</v>
      </c>
      <c r="BQ140" s="21">
        <f>EXP(-LN(2)/25)*BQ139+(1-EXP(-LN(2)/25))/(LN(2)/25)*Calculateur!BL140*Calculateur!BN140*VLOOKUP('Données projet'!$B$11,Paramètres!$A$1:$I$89,3,0)*0.475*44/12</f>
        <v>6.4253951646587542</v>
      </c>
      <c r="BR140" s="21">
        <f>EXP(-LN(2)/2)*BR139+(1-EXP(-LN(2)/2))/(LN(2)/2)*BL140*BO140*VLOOKUP('Données projet'!$B$11,Paramètres!$A$1:$I$89,3,0)*0.475*44/12</f>
        <v>3.5364659068456084E-9</v>
      </c>
      <c r="BS140" s="22">
        <f t="shared" si="117"/>
        <v>17.609361148077653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5.7</v>
      </c>
      <c r="CT140" s="12">
        <f>IF('Données projet'!$A$140&gt;35,CT139+CS140-DB139,IF(A140&lt;'Données projet'!$A$140,$CQ$205^A140,IF(A140='Données projet'!$A$140,'Données projet'!$B$140,CT139+CS140-DB139)))</f>
        <v>309.3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1472.7253092834233</v>
      </c>
      <c r="S141" s="59">
        <f ca="1">AVERAGE(OFFSET($R$3,0,0,'Données projet'!$E$9+1,1))-AVERAGE(OFFSET($H$3,0,0,'Données projet'!$E$9+1,1))</f>
        <v>737.40414421611001</v>
      </c>
      <c r="T141" s="59">
        <f t="shared" si="142"/>
        <v>245.32893490531674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377.28055430105911</v>
      </c>
      <c r="AO141" s="59">
        <f t="shared" si="144"/>
        <v>364.58250627635425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16.481776242459681</v>
      </c>
      <c r="AV141" s="21">
        <f>EXP(-LN(2)/25)*AV140+(1-EXP(-LN(2)/25))/(LN(2)/25)*Calculateur!AQ141*Calculateur!AS141*VLOOKUP('Données projet'!$B$10,Paramètres!$A$1:$I$89,3,0)*0.475*44/12</f>
        <v>10.278476900404545</v>
      </c>
      <c r="AW141" s="21">
        <f>EXP(-LN(2)/2)*AW140+(1-EXP(-LN(2)/2))/(LN(2)/2)*AQ141*AT141*VLOOKUP('Données projet'!$B$10,Paramètres!$A$1:$I$89,3,0)*0.475*44/12</f>
        <v>1.1626877114996566E-7</v>
      </c>
      <c r="AX141" s="21">
        <f t="shared" si="114"/>
        <v>26.760253259132998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4.4337866711430253E-14</v>
      </c>
      <c r="BF141" s="13">
        <f t="shared" si="145"/>
        <v>7.3222115536967035E-13</v>
      </c>
      <c r="BG141" s="20">
        <f t="shared" si="115"/>
        <v>1.3525069634579169E-12</v>
      </c>
      <c r="BH141" s="59">
        <f t="shared" si="116"/>
        <v>285.1413272655073</v>
      </c>
      <c r="BI141" s="59">
        <f ca="1">AVERAGE(OFFSET($BH$3,0,0,'Données projet'!$E$11+1,1))-AVERAGE(OFFSET($H$3,0,0,'Données projet'!$E$11+1,1))</f>
        <v>308.85018589589453</v>
      </c>
      <c r="BJ141" s="59">
        <f t="shared" si="146"/>
        <v>302.59481222418219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10.964655228562613</v>
      </c>
      <c r="BQ141" s="21">
        <f>EXP(-LN(2)/25)*BQ140+(1-EXP(-LN(2)/25))/(LN(2)/25)*Calculateur!BL141*Calculateur!BN141*VLOOKUP('Données projet'!$B$11,Paramètres!$A$1:$I$89,3,0)*0.475*44/12</f>
        <v>6.2496923959843143</v>
      </c>
      <c r="BR141" s="21">
        <f>EXP(-LN(2)/2)*BR140+(1-EXP(-LN(2)/2))/(LN(2)/2)*BL141*BO141*VLOOKUP('Données projet'!$B$11,Paramètres!$A$1:$I$89,3,0)*0.475*44/12</f>
        <v>2.500659024165563E-9</v>
      </c>
      <c r="BS141" s="22">
        <f t="shared" si="117"/>
        <v>17.214347627047587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>
        <f>VLOOKUP(A141,'Données projet'!$A$139:$I$159,2,0)</f>
        <v>315</v>
      </c>
      <c r="CR141" s="12">
        <f>VLOOKUP(A141,'Données projet'!$A$139:$I$159,9,0)</f>
        <v>5.7</v>
      </c>
      <c r="CS141" s="12">
        <f t="array" ref="CS141">INDEX(CR:CR,MIN(IF(ISNUMBER(CR141:CR337),ROW(CR141:CR337),"")))</f>
        <v>5.7</v>
      </c>
      <c r="CT141" s="12">
        <f>IF('Données projet'!$A$140&gt;35,CT140+CS141-DB140,IF(A141&lt;'Données projet'!$A$140,$CQ$205^A141,IF(A141='Données projet'!$A$140,'Données projet'!$B$140,CT140+CS141-DB140)))</f>
        <v>315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12</v>
      </c>
      <c r="DB141" s="15">
        <f>IF(ISNA(VLOOKUP(A141,'Données projet'!$A$139:$I$159,4,0)),0,VLOOKUP(A141,'Données projet'!$A$139:$I$159,4,0))</f>
        <v>39</v>
      </c>
      <c r="DC141" s="16" t="e">
        <f>IF(ISNA(VLOOKUP(A141,'Données projet'!$A$139:$I$159,5,0)),0%,VLOOKUP(A141,'Données projet'!$A$139:$I$159,5,0)*VLOOKUP('Données projet'!$B$13,Paramètres!$A$1:$I$89,7,0))</f>
        <v>#N/A</v>
      </c>
      <c r="DD141" s="16" t="e">
        <f>IF(ISNA(VLOOKUP(A141,'Données projet'!$A$139:$I$159,6,0)),0%,VLOOKUP(A141,'Données projet'!$A$139:$I$159,6,0)*VLOOKUP('Données projet'!$B$13,Paramètres!$A$1:$I$89,7,0))</f>
        <v>#N/A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1493.2850345486813</v>
      </c>
      <c r="S142" s="59">
        <f ca="1">AVERAGE(OFFSET($R$3,0,0,'Données projet'!$E$9+1,1))-AVERAGE(OFFSET($H$3,0,0,'Données projet'!$E$9+1,1))</f>
        <v>737.40414421611001</v>
      </c>
      <c r="T142" s="59">
        <f t="shared" si="142"/>
        <v>245.32893490531674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377.28055430105911</v>
      </c>
      <c r="AO142" s="59">
        <f t="shared" si="144"/>
        <v>364.58250627635425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16.158578663235915</v>
      </c>
      <c r="AV142" s="21">
        <f>EXP(-LN(2)/25)*AV141+(1-EXP(-LN(2)/25))/(LN(2)/25)*Calculateur!AQ142*Calculateur!AS142*VLOOKUP('Données projet'!$B$10,Paramètres!$A$1:$I$89,3,0)*0.475*44/12</f>
        <v>9.9974114090413746</v>
      </c>
      <c r="AW142" s="21">
        <f>EXP(-LN(2)/2)*AW141+(1-EXP(-LN(2)/2))/(LN(2)/2)*AQ142*AT142*VLOOKUP('Données projet'!$B$10,Paramètres!$A$1:$I$89,3,0)*0.475*44/12</f>
        <v>8.2214436520367535E-8</v>
      </c>
      <c r="AX142" s="21">
        <f t="shared" si="114"/>
        <v>26.155990154491729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4.4337866711430253E-14</v>
      </c>
      <c r="BF142" s="13">
        <f t="shared" si="145"/>
        <v>7.3222115536967035E-13</v>
      </c>
      <c r="BG142" s="20">
        <f t="shared" si="115"/>
        <v>1.3525069634579169E-12</v>
      </c>
      <c r="BH142" s="59">
        <f t="shared" si="116"/>
        <v>285.28344025620225</v>
      </c>
      <c r="BI142" s="59">
        <f ca="1">AVERAGE(OFFSET($BH$3,0,0,'Données projet'!$E$11+1,1))-AVERAGE(OFFSET($H$3,0,0,'Données projet'!$E$11+1,1))</f>
        <v>308.85018589589453</v>
      </c>
      <c r="BJ142" s="59">
        <f t="shared" si="146"/>
        <v>302.59481222418219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10.749645027309827</v>
      </c>
      <c r="BQ142" s="21">
        <f>EXP(-LN(2)/25)*BQ141+(1-EXP(-LN(2)/25))/(LN(2)/25)*Calculateur!BL142*Calculateur!BN142*VLOOKUP('Données projet'!$B$11,Paramètres!$A$1:$I$89,3,0)*0.475*44/12</f>
        <v>6.0787942287590839</v>
      </c>
      <c r="BR142" s="21">
        <f>EXP(-LN(2)/2)*BR141+(1-EXP(-LN(2)/2))/(LN(2)/2)*BL142*BO142*VLOOKUP('Données projet'!$B$11,Paramètres!$A$1:$I$89,3,0)*0.475*44/12</f>
        <v>1.7682329534228042E-9</v>
      </c>
      <c r="BS142" s="22">
        <f t="shared" si="117"/>
        <v>16.828439257837143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5.8</v>
      </c>
      <c r="CT142" s="12">
        <f>IF('Données projet'!$A$140&gt;35,CT141+CS142-DB141,IF(A142&lt;'Données projet'!$A$140,$CQ$205^A142,IF(A142='Données projet'!$A$140,'Données projet'!$B$140,CT141+CS142-DB141)))</f>
        <v>281.8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1513.8356119707566</v>
      </c>
      <c r="S143" s="59">
        <f ca="1">AVERAGE(OFFSET($R$3,0,0,'Données projet'!$E$9+1,1))-AVERAGE(OFFSET($H$3,0,0,'Données projet'!$E$9+1,1))</f>
        <v>737.40414421611001</v>
      </c>
      <c r="T143" s="59">
        <f t="shared" si="142"/>
        <v>245.32893490531674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377.28055430105911</v>
      </c>
      <c r="AO143" s="59">
        <f t="shared" si="144"/>
        <v>364.58250627635425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15.841718791409667</v>
      </c>
      <c r="AV143" s="21">
        <f>EXP(-LN(2)/25)*AV142+(1-EXP(-LN(2)/25))/(LN(2)/25)*Calculateur!AQ143*Calculateur!AS143*VLOOKUP('Données projet'!$B$10,Paramètres!$A$1:$I$89,3,0)*0.475*44/12</f>
        <v>9.7240316683201211</v>
      </c>
      <c r="AW143" s="21">
        <f>EXP(-LN(2)/2)*AW142+(1-EXP(-LN(2)/2))/(LN(2)/2)*AQ143*AT143*VLOOKUP('Données projet'!$B$10,Paramètres!$A$1:$I$89,3,0)*0.475*44/12</f>
        <v>5.8134385574982829E-8</v>
      </c>
      <c r="AX143" s="21">
        <f t="shared" si="114"/>
        <v>25.565750517864174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4.4337866711430253E-14</v>
      </c>
      <c r="BF143" s="13">
        <f t="shared" si="145"/>
        <v>7.3222115536967035E-13</v>
      </c>
      <c r="BG143" s="20">
        <f t="shared" si="115"/>
        <v>1.3525069634579169E-12</v>
      </c>
      <c r="BH143" s="59">
        <f t="shared" si="116"/>
        <v>285.42308790422572</v>
      </c>
      <c r="BI143" s="59">
        <f ca="1">AVERAGE(OFFSET($BH$3,0,0,'Données projet'!$E$11+1,1))-AVERAGE(OFFSET($H$3,0,0,'Données projet'!$E$11+1,1))</f>
        <v>308.85018589589453</v>
      </c>
      <c r="BJ143" s="59">
        <f t="shared" si="146"/>
        <v>302.59481222418219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10.538851044960333</v>
      </c>
      <c r="BQ143" s="21">
        <f>EXP(-LN(2)/25)*BQ142+(1-EXP(-LN(2)/25))/(LN(2)/25)*Calculateur!BL143*Calculateur!BN143*VLOOKUP('Données projet'!$B$11,Paramètres!$A$1:$I$89,3,0)*0.475*44/12</f>
        <v>5.9125692809037718</v>
      </c>
      <c r="BR143" s="21">
        <f>EXP(-LN(2)/2)*BR142+(1-EXP(-LN(2)/2))/(LN(2)/2)*BL143*BO143*VLOOKUP('Données projet'!$B$11,Paramètres!$A$1:$I$89,3,0)*0.475*44/12</f>
        <v>1.2503295120827815E-9</v>
      </c>
      <c r="BS143" s="22">
        <f t="shared" si="117"/>
        <v>16.451420327114434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5.8</v>
      </c>
      <c r="CT143" s="12">
        <f>IF('Données projet'!$A$140&gt;35,CT142+CS143-DB142,IF(A143&lt;'Données projet'!$A$140,$CQ$205^A143,IF(A143='Données projet'!$A$140,'Données projet'!$B$140,CT142+CS143-DB142)))</f>
        <v>287.60000000000002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1393.7973223607326</v>
      </c>
      <c r="S144" s="59">
        <f ca="1">AVERAGE(OFFSET($R$3,0,0,'Données projet'!$E$9+1,1))-AVERAGE(OFFSET($H$3,0,0,'Données projet'!$E$9+1,1))</f>
        <v>737.40414421611001</v>
      </c>
      <c r="T144" s="59">
        <f t="shared" si="142"/>
        <v>245.32893490531674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377.28055430105911</v>
      </c>
      <c r="AO144" s="59">
        <f t="shared" si="144"/>
        <v>364.58250627635425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15.531072348404495</v>
      </c>
      <c r="AV144" s="21">
        <f>EXP(-LN(2)/25)*AV143+(1-EXP(-LN(2)/25))/(LN(2)/25)*Calculateur!AQ144*Calculateur!AS144*VLOOKUP('Données projet'!$B$10,Paramètres!$A$1:$I$89,3,0)*0.475*44/12</f>
        <v>9.4581275109853067</v>
      </c>
      <c r="AW144" s="21">
        <f>EXP(-LN(2)/2)*AW143+(1-EXP(-LN(2)/2))/(LN(2)/2)*AQ144*AT144*VLOOKUP('Données projet'!$B$10,Paramètres!$A$1:$I$89,3,0)*0.475*44/12</f>
        <v>4.1107218260183768E-8</v>
      </c>
      <c r="AX144" s="21">
        <f t="shared" si="114"/>
        <v>24.989199900497017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4.4337866711430253E-14</v>
      </c>
      <c r="BF144" s="13">
        <f t="shared" si="145"/>
        <v>7.3222115536967035E-13</v>
      </c>
      <c r="BG144" s="20">
        <f t="shared" si="115"/>
        <v>1.3525069634579169E-12</v>
      </c>
      <c r="BH144" s="59">
        <f t="shared" si="116"/>
        <v>285.56031297776138</v>
      </c>
      <c r="BI144" s="59">
        <f ca="1">AVERAGE(OFFSET($BH$3,0,0,'Données projet'!$E$11+1,1))-AVERAGE(OFFSET($H$3,0,0,'Données projet'!$E$11+1,1))</f>
        <v>308.85018589589453</v>
      </c>
      <c r="BJ144" s="59">
        <f t="shared" si="146"/>
        <v>302.59481222418219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10.33219060403308</v>
      </c>
      <c r="BQ144" s="21">
        <f>EXP(-LN(2)/25)*BQ143+(1-EXP(-LN(2)/25))/(LN(2)/25)*Calculateur!BL144*Calculateur!BN144*VLOOKUP('Données projet'!$B$11,Paramètres!$A$1:$I$89,3,0)*0.475*44/12</f>
        <v>5.7508897629889528</v>
      </c>
      <c r="BR144" s="21">
        <f>EXP(-LN(2)/2)*BR143+(1-EXP(-LN(2)/2))/(LN(2)/2)*BL144*BO144*VLOOKUP('Données projet'!$B$11,Paramètres!$A$1:$I$89,3,0)*0.475*44/12</f>
        <v>8.8411647671140211E-10</v>
      </c>
      <c r="BS144" s="22">
        <f t="shared" si="117"/>
        <v>16.083080367906152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5.8</v>
      </c>
      <c r="CT144" s="12">
        <f>IF('Données projet'!$A$140&gt;35,CT143+CS144-DB143,IF(A144&lt;'Données projet'!$A$140,$CQ$205^A144,IF(A144='Données projet'!$A$140,'Données projet'!$B$140,CT143+CS144-DB143)))</f>
        <v>293.40000000000003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1414.4354531202894</v>
      </c>
      <c r="S145" s="59">
        <f ca="1">AVERAGE(OFFSET($R$3,0,0,'Données projet'!$E$9+1,1))-AVERAGE(OFFSET($H$3,0,0,'Données projet'!$E$9+1,1))</f>
        <v>737.40414421611001</v>
      </c>
      <c r="T145" s="59">
        <f t="shared" si="142"/>
        <v>245.32893490531674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377.28055430105911</v>
      </c>
      <c r="AO145" s="59">
        <f t="shared" si="144"/>
        <v>364.58250627635425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15.226517492671032</v>
      </c>
      <c r="AV145" s="21">
        <f>EXP(-LN(2)/25)*AV144+(1-EXP(-LN(2)/25))/(LN(2)/25)*Calculateur!AQ145*Calculateur!AS145*VLOOKUP('Données projet'!$B$10,Paramètres!$A$1:$I$89,3,0)*0.475*44/12</f>
        <v>9.1994945168161042</v>
      </c>
      <c r="AW145" s="21">
        <f>EXP(-LN(2)/2)*AW144+(1-EXP(-LN(2)/2))/(LN(2)/2)*AQ145*AT145*VLOOKUP('Données projet'!$B$10,Paramètres!$A$1:$I$89,3,0)*0.475*44/12</f>
        <v>2.9067192787491415E-8</v>
      </c>
      <c r="AX145" s="21">
        <f t="shared" si="114"/>
        <v>24.42601203855433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4.4337866711430253E-14</v>
      </c>
      <c r="BF145" s="13">
        <f t="shared" si="145"/>
        <v>7.3222115536967035E-13</v>
      </c>
      <c r="BG145" s="20">
        <f t="shared" si="115"/>
        <v>1.3525069634579169E-12</v>
      </c>
      <c r="BH145" s="59">
        <f t="shared" si="116"/>
        <v>285.69515750306044</v>
      </c>
      <c r="BI145" s="59">
        <f ca="1">AVERAGE(OFFSET($BH$3,0,0,'Données projet'!$E$11+1,1))-AVERAGE(OFFSET($H$3,0,0,'Données projet'!$E$11+1,1))</f>
        <v>308.85018589589453</v>
      </c>
      <c r="BJ145" s="59">
        <f t="shared" si="146"/>
        <v>302.59481222418219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10.129582648301987</v>
      </c>
      <c r="BQ145" s="21">
        <f>EXP(-LN(2)/25)*BQ144+(1-EXP(-LN(2)/25))/(LN(2)/25)*Calculateur!BL145*Calculateur!BN145*VLOOKUP('Données projet'!$B$11,Paramètres!$A$1:$I$89,3,0)*0.475*44/12</f>
        <v>5.5936313799938713</v>
      </c>
      <c r="BR145" s="21">
        <f>EXP(-LN(2)/2)*BR144+(1-EXP(-LN(2)/2))/(LN(2)/2)*BL145*BO145*VLOOKUP('Données projet'!$B$11,Paramètres!$A$1:$I$89,3,0)*0.475*44/12</f>
        <v>6.2516475604139074E-10</v>
      </c>
      <c r="BS145" s="22">
        <f t="shared" si="117"/>
        <v>15.723214028921022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5.8</v>
      </c>
      <c r="CT145" s="12">
        <f>IF('Données projet'!$A$140&gt;35,CT144+CS145-DB144,IF(A145&lt;'Données projet'!$A$140,$CQ$205^A145,IF(A145='Données projet'!$A$140,'Données projet'!$B$140,CT144+CS145-DB144)))</f>
        <v>299.20000000000005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1435.0639829808906</v>
      </c>
      <c r="S146" s="59">
        <f ca="1">AVERAGE(OFFSET($R$3,0,0,'Données projet'!$E$9+1,1))-AVERAGE(OFFSET($H$3,0,0,'Données projet'!$E$9+1,1))</f>
        <v>737.40414421611001</v>
      </c>
      <c r="T146" s="59">
        <f t="shared" si="142"/>
        <v>245.32893490531674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377.28055430105911</v>
      </c>
      <c r="AO146" s="59">
        <f t="shared" si="144"/>
        <v>364.58250627635425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14.927934771898384</v>
      </c>
      <c r="AV146" s="21">
        <f>EXP(-LN(2)/25)*AV145+(1-EXP(-LN(2)/25))/(LN(2)/25)*Calculateur!AQ146*Calculateur!AS146*VLOOKUP('Données projet'!$B$10,Paramètres!$A$1:$I$89,3,0)*0.475*44/12</f>
        <v>8.9479338554733765</v>
      </c>
      <c r="AW146" s="21">
        <f>EXP(-LN(2)/2)*AW145+(1-EXP(-LN(2)/2))/(LN(2)/2)*AQ146*AT146*VLOOKUP('Données projet'!$B$10,Paramètres!$A$1:$I$89,3,0)*0.475*44/12</f>
        <v>2.0553609130091884E-8</v>
      </c>
      <c r="AX146" s="21">
        <f t="shared" si="114"/>
        <v>23.875868647925369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4.4337866711430253E-14</v>
      </c>
      <c r="BF146" s="13">
        <f t="shared" si="145"/>
        <v>7.3222115536967035E-13</v>
      </c>
      <c r="BG146" s="20">
        <f t="shared" si="115"/>
        <v>1.3525069634579169E-12</v>
      </c>
      <c r="BH146" s="59">
        <f t="shared" si="116"/>
        <v>285.82766277731281</v>
      </c>
      <c r="BI146" s="59">
        <f ca="1">AVERAGE(OFFSET($BH$3,0,0,'Données projet'!$E$11+1,1))-AVERAGE(OFFSET($H$3,0,0,'Données projet'!$E$11+1,1))</f>
        <v>308.85018589589453</v>
      </c>
      <c r="BJ146" s="59">
        <f t="shared" si="146"/>
        <v>302.59481222418219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9.9309477110041318</v>
      </c>
      <c r="BQ146" s="21">
        <f>EXP(-LN(2)/25)*BQ145+(1-EXP(-LN(2)/25))/(LN(2)/25)*Calculateur!BL146*Calculateur!BN146*VLOOKUP('Données projet'!$B$11,Paramètres!$A$1:$I$89,3,0)*0.475*44/12</f>
        <v>5.4406732357516487</v>
      </c>
      <c r="BR146" s="21">
        <f>EXP(-LN(2)/2)*BR145+(1-EXP(-LN(2)/2))/(LN(2)/2)*BL146*BO146*VLOOKUP('Données projet'!$B$11,Paramètres!$A$1:$I$89,3,0)*0.475*44/12</f>
        <v>4.4205823835570105E-10</v>
      </c>
      <c r="BS146" s="22">
        <f t="shared" si="117"/>
        <v>15.371620947197838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5.8</v>
      </c>
      <c r="CT146" s="12">
        <f>IF('Données projet'!$A$140&gt;35,CT145+CS146-DB145,IF(A146&lt;'Données projet'!$A$140,$CQ$205^A146,IF(A146='Données projet'!$A$140,'Données projet'!$B$140,CT145+CS146-DB145)))</f>
        <v>305.00000000000006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1455.6831000580892</v>
      </c>
      <c r="S147" s="59">
        <f ca="1">AVERAGE(OFFSET($R$3,0,0,'Données projet'!$E$9+1,1))-AVERAGE(OFFSET($H$3,0,0,'Données projet'!$E$9+1,1))</f>
        <v>737.40414421611001</v>
      </c>
      <c r="T147" s="59">
        <f t="shared" si="142"/>
        <v>245.32893490531674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377.28055430105911</v>
      </c>
      <c r="AO147" s="59">
        <f t="shared" si="144"/>
        <v>364.58250627635425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14.63520707616261</v>
      </c>
      <c r="AV147" s="21">
        <f>EXP(-LN(2)/25)*AV146+(1-EXP(-LN(2)/25))/(LN(2)/25)*Calculateur!AQ147*Calculateur!AS147*VLOOKUP('Données projet'!$B$10,Paramètres!$A$1:$I$89,3,0)*0.475*44/12</f>
        <v>8.7032521336440656</v>
      </c>
      <c r="AW147" s="21">
        <f>EXP(-LN(2)/2)*AW146+(1-EXP(-LN(2)/2))/(LN(2)/2)*AQ147*AT147*VLOOKUP('Données projet'!$B$10,Paramètres!$A$1:$I$89,3,0)*0.475*44/12</f>
        <v>1.4533596393745707E-8</v>
      </c>
      <c r="AX147" s="21">
        <f t="shared" si="114"/>
        <v>23.338459224340273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4.4337866711430253E-14</v>
      </c>
      <c r="BF147" s="13">
        <f t="shared" si="145"/>
        <v>7.3222115536967035E-13</v>
      </c>
      <c r="BG147" s="20">
        <f t="shared" si="115"/>
        <v>1.3525069634579169E-12</v>
      </c>
      <c r="BH147" s="59">
        <f t="shared" si="116"/>
        <v>285.95786938129424</v>
      </c>
      <c r="BI147" s="59">
        <f ca="1">AVERAGE(OFFSET($BH$3,0,0,'Données projet'!$E$11+1,1))-AVERAGE(OFFSET($H$3,0,0,'Données projet'!$E$11+1,1))</f>
        <v>308.85018589589453</v>
      </c>
      <c r="BJ147" s="59">
        <f t="shared" si="146"/>
        <v>302.59481222418219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9.7362078836713373</v>
      </c>
      <c r="BQ147" s="21">
        <f>EXP(-LN(2)/25)*BQ146+(1-EXP(-LN(2)/25))/(LN(2)/25)*Calculateur!BL147*Calculateur!BN147*VLOOKUP('Données projet'!$B$11,Paramètres!$A$1:$I$89,3,0)*0.475*44/12</f>
        <v>5.2918977400074496</v>
      </c>
      <c r="BR147" s="21">
        <f>EXP(-LN(2)/2)*BR146+(1-EXP(-LN(2)/2))/(LN(2)/2)*BL147*BO147*VLOOKUP('Données projet'!$B$11,Paramètres!$A$1:$I$89,3,0)*0.475*44/12</f>
        <v>3.1258237802069537E-10</v>
      </c>
      <c r="BS147" s="22">
        <f t="shared" si="117"/>
        <v>15.028105623991369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5.8</v>
      </c>
      <c r="CT147" s="12">
        <f>IF('Données projet'!$A$140&gt;35,CT146+CS147-DB146,IF(A147&lt;'Données projet'!$A$140,$CQ$205^A147,IF(A147='Données projet'!$A$140,'Données projet'!$B$140,CT146+CS147-DB146)))</f>
        <v>310.80000000000007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1476.2929861823395</v>
      </c>
      <c r="S148" s="59">
        <f ca="1">AVERAGE(OFFSET($R$3,0,0,'Données projet'!$E$9+1,1))-AVERAGE(OFFSET($H$3,0,0,'Données projet'!$E$9+1,1))</f>
        <v>737.40414421611001</v>
      </c>
      <c r="T148" s="59">
        <f t="shared" si="142"/>
        <v>245.32893490531674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377.28055430105911</v>
      </c>
      <c r="AO148" s="59">
        <f t="shared" si="144"/>
        <v>364.58250627635425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14.348219591993949</v>
      </c>
      <c r="AV148" s="21">
        <f>EXP(-LN(2)/25)*AV147+(1-EXP(-LN(2)/25))/(LN(2)/25)*Calculateur!AQ148*Calculateur!AS148*VLOOKUP('Données projet'!$B$10,Paramètres!$A$1:$I$89,3,0)*0.475*44/12</f>
        <v>8.4652612463654311</v>
      </c>
      <c r="AW148" s="21">
        <f>EXP(-LN(2)/2)*AW147+(1-EXP(-LN(2)/2))/(LN(2)/2)*AQ148*AT148*VLOOKUP('Données projet'!$B$10,Paramètres!$A$1:$I$89,3,0)*0.475*44/12</f>
        <v>1.0276804565045942E-8</v>
      </c>
      <c r="AX148" s="21">
        <f t="shared" si="114"/>
        <v>22.813480848636186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4.4337866711430253E-14</v>
      </c>
      <c r="BF148" s="13">
        <f t="shared" si="145"/>
        <v>7.3222115536967035E-13</v>
      </c>
      <c r="BG148" s="20">
        <f t="shared" si="115"/>
        <v>1.3525069634579169E-12</v>
      </c>
      <c r="BH148" s="59">
        <f t="shared" si="116"/>
        <v>286.08581719179494</v>
      </c>
      <c r="BI148" s="59">
        <f ca="1">AVERAGE(OFFSET($BH$3,0,0,'Données projet'!$E$11+1,1))-AVERAGE(OFFSET($H$3,0,0,'Données projet'!$E$11+1,1))</f>
        <v>308.85018589589453</v>
      </c>
      <c r="BJ148" s="59">
        <f t="shared" si="146"/>
        <v>302.59481222418219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9.5452867855729728</v>
      </c>
      <c r="BQ148" s="21">
        <f>EXP(-LN(2)/25)*BQ147+(1-EXP(-LN(2)/25))/(LN(2)/25)*Calculateur!BL148*Calculateur!BN148*VLOOKUP('Données projet'!$B$11,Paramètres!$A$1:$I$89,3,0)*0.475*44/12</f>
        <v>5.1471905180181388</v>
      </c>
      <c r="BR148" s="21">
        <f>EXP(-LN(2)/2)*BR147+(1-EXP(-LN(2)/2))/(LN(2)/2)*BL148*BO148*VLOOKUP('Données projet'!$B$11,Paramètres!$A$1:$I$89,3,0)*0.475*44/12</f>
        <v>2.2102911917785053E-10</v>
      </c>
      <c r="BS148" s="22">
        <f t="shared" si="117"/>
        <v>14.69247730381214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5.8</v>
      </c>
      <c r="CT148" s="12">
        <f>IF('Données projet'!$A$140&gt;35,CT147+CS148-DB147,IF(A148&lt;'Données projet'!$A$140,$CQ$205^A148,IF(A148='Données projet'!$A$140,'Données projet'!$B$140,CT147+CS148-DB147)))</f>
        <v>316.60000000000008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1496.8938172166536</v>
      </c>
      <c r="S149" s="59">
        <f ca="1">AVERAGE(OFFSET($R$3,0,0,'Données projet'!$E$9+1,1))-AVERAGE(OFFSET($H$3,0,0,'Données projet'!$E$9+1,1))</f>
        <v>737.40414421611001</v>
      </c>
      <c r="T149" s="59">
        <f t="shared" si="142"/>
        <v>245.32893490531674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377.28055430105911</v>
      </c>
      <c r="AO149" s="59">
        <f t="shared" si="144"/>
        <v>364.58250627635425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14.066859757344755</v>
      </c>
      <c r="AV149" s="21">
        <f>EXP(-LN(2)/25)*AV148+(1-EXP(-LN(2)/25))/(LN(2)/25)*Calculateur!AQ149*Calculateur!AS149*VLOOKUP('Données projet'!$B$10,Paramètres!$A$1:$I$89,3,0)*0.475*44/12</f>
        <v>8.2337782324148279</v>
      </c>
      <c r="AW149" s="21">
        <f>EXP(-LN(2)/2)*AW148+(1-EXP(-LN(2)/2))/(LN(2)/2)*AQ149*AT149*VLOOKUP('Données projet'!$B$10,Paramètres!$A$1:$I$89,3,0)*0.475*44/12</f>
        <v>7.2667981968728536E-9</v>
      </c>
      <c r="AX149" s="21">
        <f t="shared" si="114"/>
        <v>22.300637997026381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4.4337866711430253E-14</v>
      </c>
      <c r="BF149" s="13">
        <f t="shared" si="145"/>
        <v>7.3222115536967035E-13</v>
      </c>
      <c r="BG149" s="20">
        <f t="shared" si="115"/>
        <v>1.3525069634579169E-12</v>
      </c>
      <c r="BH149" s="59">
        <f t="shared" si="116"/>
        <v>286.21154539383201</v>
      </c>
      <c r="BI149" s="59">
        <f ca="1">AVERAGE(OFFSET($BH$3,0,0,'Données projet'!$E$11+1,1))-AVERAGE(OFFSET($H$3,0,0,'Données projet'!$E$11+1,1))</f>
        <v>308.85018589589453</v>
      </c>
      <c r="BJ149" s="59">
        <f t="shared" si="146"/>
        <v>302.59481222418219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9.358109533757947</v>
      </c>
      <c r="BQ149" s="21">
        <f>EXP(-LN(2)/25)*BQ148+(1-EXP(-LN(2)/25))/(LN(2)/25)*Calculateur!BL149*Calculateur!BN149*VLOOKUP('Données projet'!$B$11,Paramètres!$A$1:$I$89,3,0)*0.475*44/12</f>
        <v>5.0064403226239476</v>
      </c>
      <c r="BR149" s="21">
        <f>EXP(-LN(2)/2)*BR148+(1-EXP(-LN(2)/2))/(LN(2)/2)*BL149*BO149*VLOOKUP('Données projet'!$B$11,Paramètres!$A$1:$I$89,3,0)*0.475*44/12</f>
        <v>1.5629118901034769E-10</v>
      </c>
      <c r="BS149" s="22">
        <f t="shared" si="117"/>
        <v>14.364549856538186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5.8</v>
      </c>
      <c r="CT149" s="12">
        <f>IF('Données projet'!$A$140&gt;35,CT148+CS149-DB148,IF(A149&lt;'Données projet'!$A$140,$CQ$205^A149,IF(A149='Données projet'!$A$140,'Données projet'!$B$140,CT148+CS149-DB148)))</f>
        <v>322.40000000000009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1517.4857633523416</v>
      </c>
      <c r="S150" s="59">
        <f ca="1">AVERAGE(OFFSET($R$3,0,0,'Données projet'!$E$9+1,1))-AVERAGE(OFFSET($H$3,0,0,'Données projet'!$E$9+1,1))</f>
        <v>737.40414421611001</v>
      </c>
      <c r="T150" s="59">
        <f t="shared" si="142"/>
        <v>245.32893490531674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377.28055430105911</v>
      </c>
      <c r="AO150" s="59">
        <f t="shared" si="144"/>
        <v>364.58250627635425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13.791017217440478</v>
      </c>
      <c r="AV150" s="21">
        <f>EXP(-LN(2)/25)*AV149+(1-EXP(-LN(2)/25))/(LN(2)/25)*Calculateur!AQ150*Calculateur!AS150*VLOOKUP('Données projet'!$B$10,Paramètres!$A$1:$I$89,3,0)*0.475*44/12</f>
        <v>8.0086251336538652</v>
      </c>
      <c r="AW150" s="21">
        <f>EXP(-LN(2)/2)*AW149+(1-EXP(-LN(2)/2))/(LN(2)/2)*AQ150*AT150*VLOOKUP('Données projet'!$B$10,Paramètres!$A$1:$I$89,3,0)*0.475*44/12</f>
        <v>5.138402282522971E-9</v>
      </c>
      <c r="AX150" s="21">
        <f t="shared" si="114"/>
        <v>21.799642356232745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4.4337866711430253E-14</v>
      </c>
      <c r="BF150" s="13">
        <f t="shared" si="145"/>
        <v>7.3222115536967035E-13</v>
      </c>
      <c r="BG150" s="20">
        <f t="shared" si="115"/>
        <v>1.3525069634579169E-12</v>
      </c>
      <c r="BH150" s="59">
        <f t="shared" si="116"/>
        <v>286.33509249264978</v>
      </c>
      <c r="BI150" s="59">
        <f ca="1">AVERAGE(OFFSET($BH$3,0,0,'Données projet'!$E$11+1,1))-AVERAGE(OFFSET($H$3,0,0,'Données projet'!$E$11+1,1))</f>
        <v>308.85018589589453</v>
      </c>
      <c r="BJ150" s="59">
        <f t="shared" si="146"/>
        <v>302.59481222418219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9.1746027136841626</v>
      </c>
      <c r="BQ150" s="21">
        <f>EXP(-LN(2)/25)*BQ149+(1-EXP(-LN(2)/25))/(LN(2)/25)*Calculateur!BL150*Calculateur!BN150*VLOOKUP('Données projet'!$B$11,Paramètres!$A$1:$I$89,3,0)*0.475*44/12</f>
        <v>4.869538948724542</v>
      </c>
      <c r="BR150" s="21">
        <f>EXP(-LN(2)/2)*BR149+(1-EXP(-LN(2)/2))/(LN(2)/2)*BL150*BO150*VLOOKUP('Données projet'!$B$11,Paramètres!$A$1:$I$89,3,0)*0.475*44/12</f>
        <v>1.1051455958892526E-10</v>
      </c>
      <c r="BS150" s="22">
        <f t="shared" si="117"/>
        <v>14.04414166251922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5.8</v>
      </c>
      <c r="CT150" s="12">
        <f>IF('Données projet'!$A$140&gt;35,CT149+CS150-DB149,IF(A150&lt;'Données projet'!$A$140,$CQ$205^A150,IF(A150='Données projet'!$A$140,'Données projet'!$B$140,CT149+CS150-DB149)))</f>
        <v>328.2000000000001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1538.068989384733</v>
      </c>
      <c r="S151" s="59">
        <f ca="1">AVERAGE(OFFSET($R$3,0,0,'Données projet'!$E$9+1,1))-AVERAGE(OFFSET($H$3,0,0,'Données projet'!$E$9+1,1))</f>
        <v>737.40414421611001</v>
      </c>
      <c r="T151" s="59">
        <f t="shared" si="142"/>
        <v>245.32893490531674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377.28055430105911</v>
      </c>
      <c r="AO151" s="59">
        <f t="shared" si="144"/>
        <v>364.58250627635425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13.520583781496388</v>
      </c>
      <c r="AV151" s="21">
        <f>EXP(-LN(2)/25)*AV150+(1-EXP(-LN(2)/25))/(LN(2)/25)*Calculateur!AQ151*Calculateur!AS151*VLOOKUP('Données projet'!$B$10,Paramètres!$A$1:$I$89,3,0)*0.475*44/12</f>
        <v>7.7896288582188085</v>
      </c>
      <c r="AW151" s="21">
        <f>EXP(-LN(2)/2)*AW150+(1-EXP(-LN(2)/2))/(LN(2)/2)*AQ151*AT151*VLOOKUP('Données projet'!$B$10,Paramètres!$A$1:$I$89,3,0)*0.475*44/12</f>
        <v>3.6333990984364268E-9</v>
      </c>
      <c r="AX151" s="21">
        <f t="shared" si="114"/>
        <v>21.310212643348596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4.4337866711430253E-14</v>
      </c>
      <c r="BF151" s="13">
        <f t="shared" si="145"/>
        <v>7.3222115536967035E-13</v>
      </c>
      <c r="BG151" s="20">
        <f t="shared" si="115"/>
        <v>1.3525069634579169E-12</v>
      </c>
      <c r="BH151" s="59">
        <f t="shared" si="116"/>
        <v>286.45649632551306</v>
      </c>
      <c r="BI151" s="59">
        <f ca="1">AVERAGE(OFFSET($BH$3,0,0,'Données projet'!$E$11+1,1))-AVERAGE(OFFSET($H$3,0,0,'Données projet'!$E$11+1,1))</f>
        <v>308.85018589589453</v>
      </c>
      <c r="BJ151" s="59">
        <f t="shared" si="146"/>
        <v>302.59481222418219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8.9946943504239165</v>
      </c>
      <c r="BQ151" s="21">
        <f>EXP(-LN(2)/25)*BQ150+(1-EXP(-LN(2)/25))/(LN(2)/25)*Calculateur!BL151*Calculateur!BN151*VLOOKUP('Données projet'!$B$11,Paramètres!$A$1:$I$89,3,0)*0.475*44/12</f>
        <v>4.7363811500937452</v>
      </c>
      <c r="BR151" s="21">
        <f>EXP(-LN(2)/2)*BR150+(1-EXP(-LN(2)/2))/(LN(2)/2)*BL151*BO151*VLOOKUP('Données projet'!$B$11,Paramètres!$A$1:$I$89,3,0)*0.475*44/12</f>
        <v>7.8145594505173843E-11</v>
      </c>
      <c r="BS151" s="22">
        <f t="shared" si="117"/>
        <v>13.731075500595807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>
        <f>VLOOKUP(A151,'Données projet'!$A$139:$I$159,2,0)</f>
        <v>334</v>
      </c>
      <c r="CR151" s="12">
        <f>VLOOKUP(A151,'Données projet'!$A$139:$I$159,9,0)</f>
        <v>5.8</v>
      </c>
      <c r="CS151" s="12">
        <f t="array" ref="CS151">INDEX(CR:CR,MIN(IF(ISNUMBER(CR151:CR347),ROW(CR151:CR347),"")))</f>
        <v>5.8</v>
      </c>
      <c r="CT151" s="12">
        <f>IF('Données projet'!$A$140&gt;35,CT150+CS151-DB150,IF(A151&lt;'Données projet'!$A$140,$CQ$205^A151,IF(A151='Données projet'!$A$140,'Données projet'!$B$140,CT150+CS151-DB150)))</f>
        <v>334.00000000000011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13</v>
      </c>
      <c r="DB151" s="15">
        <f>IF(ISNA(VLOOKUP(A151,'Données projet'!$A$139:$I$159,4,0)),0,VLOOKUP(A151,'Données projet'!$A$139:$I$159,4,0))</f>
        <v>41</v>
      </c>
      <c r="DC151" s="16" t="e">
        <f>IF(ISNA(VLOOKUP(A151,'Données projet'!$A$139:$I$159,5,0)),0%,VLOOKUP(A151,'Données projet'!$A$139:$I$159,5,0)*VLOOKUP('Données projet'!$B$13,Paramètres!$A$1:$I$89,7,0))</f>
        <v>#N/A</v>
      </c>
      <c r="DD151" s="16" t="e">
        <f>IF(ISNA(VLOOKUP(A151,'Données projet'!$A$139:$I$159,6,0)),0%,VLOOKUP(A151,'Données projet'!$A$139:$I$159,6,0)*VLOOKUP('Données projet'!$B$13,Paramètres!$A$1:$I$89,7,0))</f>
        <v>#N/A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1558.6436549705638</v>
      </c>
      <c r="S152" s="59">
        <f ca="1">AVERAGE(OFFSET($R$3,0,0,'Données projet'!$E$9+1,1))-AVERAGE(OFFSET($H$3,0,0,'Données projet'!$E$9+1,1))</f>
        <v>737.40414421611001</v>
      </c>
      <c r="T152" s="59">
        <f t="shared" si="142"/>
        <v>245.32893490531674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377.28055430105911</v>
      </c>
      <c r="AO152" s="59">
        <f t="shared" si="144"/>
        <v>364.58250627635425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13.255453380283052</v>
      </c>
      <c r="AV152" s="21">
        <f>EXP(-LN(2)/25)*AV151+(1-EXP(-LN(2)/25))/(LN(2)/25)*Calculateur!AQ152*Calculateur!AS152*VLOOKUP('Données projet'!$B$10,Paramètres!$A$1:$I$89,3,0)*0.475*44/12</f>
        <v>7.5766210474520372</v>
      </c>
      <c r="AW152" s="21">
        <f>EXP(-LN(2)/2)*AW151+(1-EXP(-LN(2)/2))/(LN(2)/2)*AQ152*AT152*VLOOKUP('Données projet'!$B$10,Paramètres!$A$1:$I$89,3,0)*0.475*44/12</f>
        <v>2.5692011412614855E-9</v>
      </c>
      <c r="AX152" s="21">
        <f t="shared" si="114"/>
        <v>20.832074430304292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4.4337866711430253E-14</v>
      </c>
      <c r="BF152" s="13">
        <f t="shared" si="145"/>
        <v>7.3222115536967035E-13</v>
      </c>
      <c r="BG152" s="20">
        <f t="shared" si="115"/>
        <v>1.3525069634579169E-12</v>
      </c>
      <c r="BH152" s="59">
        <f t="shared" si="116"/>
        <v>286.57579407329445</v>
      </c>
      <c r="BI152" s="59">
        <f ca="1">AVERAGE(OFFSET($BH$3,0,0,'Données projet'!$E$11+1,1))-AVERAGE(OFFSET($H$3,0,0,'Données projet'!$E$11+1,1))</f>
        <v>308.85018589589453</v>
      </c>
      <c r="BJ152" s="59">
        <f t="shared" si="146"/>
        <v>302.59481222418219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8.8183138804339372</v>
      </c>
      <c r="BQ152" s="21">
        <f>EXP(-LN(2)/25)*BQ151+(1-EXP(-LN(2)/25))/(LN(2)/25)*Calculateur!BL152*Calculateur!BN152*VLOOKUP('Données projet'!$B$11,Paramètres!$A$1:$I$89,3,0)*0.475*44/12</f>
        <v>4.6068645584689722</v>
      </c>
      <c r="BR152" s="21">
        <f>EXP(-LN(2)/2)*BR151+(1-EXP(-LN(2)/2))/(LN(2)/2)*BL152*BO152*VLOOKUP('Données projet'!$B$11,Paramètres!$A$1:$I$89,3,0)*0.475*44/12</f>
        <v>5.5257279794462632E-11</v>
      </c>
      <c r="BS152" s="22">
        <f t="shared" si="117"/>
        <v>13.425178438958167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-3.4705882352941178</v>
      </c>
      <c r="CT152" s="12">
        <f>IF('Données projet'!$A$140&gt;35,CT151+CS152-DB151,IF(A152&lt;'Données projet'!$A$140,$CQ$205^A152,IF(A152='Données projet'!$A$140,'Données projet'!$B$140,CT151+CS152-DB151)))</f>
        <v>289.52941176470597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1579.2099148685638</v>
      </c>
      <c r="S153" s="59">
        <f ca="1">AVERAGE(OFFSET($R$3,0,0,'Données projet'!$E$9+1,1))-AVERAGE(OFFSET($H$3,0,0,'Données projet'!$E$9+1,1))</f>
        <v>737.40414421611001</v>
      </c>
      <c r="T153" s="59">
        <f t="shared" si="142"/>
        <v>245.32893490531674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377.28055430105911</v>
      </c>
      <c r="AO153" s="59">
        <f t="shared" si="144"/>
        <v>364.58250627635425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12.995522024523934</v>
      </c>
      <c r="AV153" s="21">
        <f>EXP(-LN(2)/25)*AV152+(1-EXP(-LN(2)/25))/(LN(2)/25)*Calculateur!AQ153*Calculateur!AS153*VLOOKUP('Données projet'!$B$10,Paramètres!$A$1:$I$89,3,0)*0.475*44/12</f>
        <v>7.369437946472277</v>
      </c>
      <c r="AW153" s="21">
        <f>EXP(-LN(2)/2)*AW152+(1-EXP(-LN(2)/2))/(LN(2)/2)*AQ153*AT153*VLOOKUP('Données projet'!$B$10,Paramètres!$A$1:$I$89,3,0)*0.475*44/12</f>
        <v>1.8166995492182134E-9</v>
      </c>
      <c r="AX153" s="21">
        <f t="shared" si="114"/>
        <v>20.364959972812908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4.4337866711430253E-14</v>
      </c>
      <c r="BF153" s="13">
        <f t="shared" si="145"/>
        <v>7.3222115536967035E-13</v>
      </c>
      <c r="BG153" s="20">
        <f t="shared" si="115"/>
        <v>1.3525069634579169E-12</v>
      </c>
      <c r="BH153" s="59">
        <f t="shared" si="116"/>
        <v>286.69302227186171</v>
      </c>
      <c r="BI153" s="59">
        <f ca="1">AVERAGE(OFFSET($BH$3,0,0,'Données projet'!$E$11+1,1))-AVERAGE(OFFSET($H$3,0,0,'Données projet'!$E$11+1,1))</f>
        <v>308.85018589589453</v>
      </c>
      <c r="BJ153" s="59">
        <f t="shared" si="146"/>
        <v>302.59481222418219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8.6453921238789988</v>
      </c>
      <c r="BQ153" s="21">
        <f>EXP(-LN(2)/25)*BQ152+(1-EXP(-LN(2)/25))/(LN(2)/25)*Calculateur!BL153*Calculateur!BN153*VLOOKUP('Données projet'!$B$11,Paramètres!$A$1:$I$89,3,0)*0.475*44/12</f>
        <v>4.4808896048531599</v>
      </c>
      <c r="BR153" s="21">
        <f>EXP(-LN(2)/2)*BR152+(1-EXP(-LN(2)/2))/(LN(2)/2)*BL153*BO153*VLOOKUP('Données projet'!$B$11,Paramètres!$A$1:$I$89,3,0)*0.475*44/12</f>
        <v>3.9072797252586921E-11</v>
      </c>
      <c r="BS153" s="22">
        <f t="shared" si="117"/>
        <v>13.126281728771232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-3.4705882352941178</v>
      </c>
      <c r="CT153" s="12">
        <f>IF('Données projet'!$A$140&gt;35,CT152+CS153-DB152,IF(A153&lt;'Données projet'!$A$140,$CQ$205^A153,IF(A153='Données projet'!$A$140,'Données projet'!$B$140,CT152+CS153-DB152)))</f>
        <v>286.05882352941182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1102.8215630000668</v>
      </c>
      <c r="S154" s="59">
        <f ca="1">AVERAGE(OFFSET($R$3,0,0,'Données projet'!$E$9+1,1))-AVERAGE(OFFSET($H$3,0,0,'Données projet'!$E$9+1,1))</f>
        <v>737.40414421611001</v>
      </c>
      <c r="T154" s="59">
        <f t="shared" si="142"/>
        <v>245.32893490531674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377.28055430105911</v>
      </c>
      <c r="AO154" s="59">
        <f t="shared" si="144"/>
        <v>364.58250627635425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12.740687764108779</v>
      </c>
      <c r="AV154" s="21">
        <f>EXP(-LN(2)/25)*AV153+(1-EXP(-LN(2)/25))/(LN(2)/25)*Calculateur!AQ154*Calculateur!AS154*VLOOKUP('Données projet'!$B$10,Paramètres!$A$1:$I$89,3,0)*0.475*44/12</f>
        <v>7.1679202782840941</v>
      </c>
      <c r="AW154" s="21">
        <f>EXP(-LN(2)/2)*AW153+(1-EXP(-LN(2)/2))/(LN(2)/2)*AQ154*AT154*VLOOKUP('Données projet'!$B$10,Paramètres!$A$1:$I$89,3,0)*0.475*44/12</f>
        <v>1.2846005706307427E-9</v>
      </c>
      <c r="AX154" s="21">
        <f t="shared" ref="AX154:AX203" si="166">SUM(AU154:AW154)</f>
        <v>19.908608043677475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4.4337866711430253E-14</v>
      </c>
      <c r="BF154" s="13">
        <f t="shared" ref="BF154:BF203" si="167">EXP(-1.0587+0.8836*LN(BE154)+0.284)</f>
        <v>7.3222115536967035E-13</v>
      </c>
      <c r="BG154" s="20">
        <f t="shared" ref="BG154:BG203" si="168">(BE154+BF154)*0.475*44/12</f>
        <v>1.3525069634579169E-12</v>
      </c>
      <c r="BH154" s="59">
        <f t="shared" si="116"/>
        <v>286.80821682326672</v>
      </c>
      <c r="BI154" s="59">
        <f ca="1">AVERAGE(OFFSET($BH$3,0,0,'Données projet'!$E$11+1,1))-AVERAGE(OFFSET($H$3,0,0,'Données projet'!$E$11+1,1))</f>
        <v>308.85018589589453</v>
      </c>
      <c r="BJ154" s="59">
        <f t="shared" si="146"/>
        <v>302.59481222418219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8.475861257498245</v>
      </c>
      <c r="BQ154" s="21">
        <f>EXP(-LN(2)/25)*BQ153+(1-EXP(-LN(2)/25))/(LN(2)/25)*Calculateur!BL154*Calculateur!BN154*VLOOKUP('Données projet'!$B$11,Paramètres!$A$1:$I$89,3,0)*0.475*44/12</f>
        <v>4.3583594429687071</v>
      </c>
      <c r="BR154" s="21">
        <f>EXP(-LN(2)/2)*BR153+(1-EXP(-LN(2)/2))/(LN(2)/2)*BL154*BO154*VLOOKUP('Données projet'!$B$11,Paramètres!$A$1:$I$89,3,0)*0.475*44/12</f>
        <v>2.7628639897231316E-11</v>
      </c>
      <c r="BS154" s="22">
        <f t="shared" ref="BS154:BS203" si="169">SUM(BP154:BR154)</f>
        <v>12.834220700494582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-3.4705882352941178</v>
      </c>
      <c r="CT154" s="12">
        <f>IF('Données projet'!$A$140&gt;35,CT153+CS154-DB153,IF(A154&lt;'Données projet'!$A$140,$CQ$205^A154,IF(A154='Données projet'!$A$140,'Données projet'!$B$140,CT153+CS154-DB153)))</f>
        <v>282.58823529411768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1116.4404990211117</v>
      </c>
      <c r="S155" s="59">
        <f ca="1">AVERAGE(OFFSET($R$3,0,0,'Données projet'!$E$9+1,1))-AVERAGE(OFFSET($H$3,0,0,'Données projet'!$E$9+1,1))</f>
        <v>737.40414421611001</v>
      </c>
      <c r="T155" s="59">
        <f t="shared" si="142"/>
        <v>245.32893490531674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377.28055430105911</v>
      </c>
      <c r="AO155" s="59">
        <f t="shared" si="144"/>
        <v>364.58250627635425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12.490850648106814</v>
      </c>
      <c r="AV155" s="21">
        <f>EXP(-LN(2)/25)*AV154+(1-EXP(-LN(2)/25))/(LN(2)/25)*Calculateur!AQ155*Calculateur!AS155*VLOOKUP('Données projet'!$B$10,Paramètres!$A$1:$I$89,3,0)*0.475*44/12</f>
        <v>6.9719131213298704</v>
      </c>
      <c r="AW155" s="21">
        <f>EXP(-LN(2)/2)*AW154+(1-EXP(-LN(2)/2))/(LN(2)/2)*AQ155*AT155*VLOOKUP('Données projet'!$B$10,Paramètres!$A$1:$I$89,3,0)*0.475*44/12</f>
        <v>9.083497746091067E-10</v>
      </c>
      <c r="AX155" s="21">
        <f t="shared" si="166"/>
        <v>19.462763770345035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4.4337866711430253E-14</v>
      </c>
      <c r="BF155" s="13">
        <f t="shared" si="167"/>
        <v>7.3222115536967035E-13</v>
      </c>
      <c r="BG155" s="20">
        <f t="shared" si="168"/>
        <v>1.3525069634579169E-12</v>
      </c>
      <c r="BH155" s="59">
        <f t="shared" si="116"/>
        <v>286.92141300674126</v>
      </c>
      <c r="BI155" s="59">
        <f ca="1">AVERAGE(OFFSET($BH$3,0,0,'Données projet'!$E$11+1,1))-AVERAGE(OFFSET($H$3,0,0,'Données projet'!$E$11+1,1))</f>
        <v>308.85018589589453</v>
      </c>
      <c r="BJ155" s="59">
        <f t="shared" si="146"/>
        <v>302.59481222418219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8.3096547880036002</v>
      </c>
      <c r="BQ155" s="21">
        <f>EXP(-LN(2)/25)*BQ154+(1-EXP(-LN(2)/25))/(LN(2)/25)*Calculateur!BL155*Calculateur!BN155*VLOOKUP('Données projet'!$B$11,Paramètres!$A$1:$I$89,3,0)*0.475*44/12</f>
        <v>4.2391798748045657</v>
      </c>
      <c r="BR155" s="21">
        <f>EXP(-LN(2)/2)*BR154+(1-EXP(-LN(2)/2))/(LN(2)/2)*BL155*BO155*VLOOKUP('Données projet'!$B$11,Paramètres!$A$1:$I$89,3,0)*0.475*44/12</f>
        <v>1.9536398626293461E-11</v>
      </c>
      <c r="BS155" s="22">
        <f t="shared" si="169"/>
        <v>12.548834662827701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-3.4705882352941178</v>
      </c>
      <c r="CT155" s="12">
        <f>IF('Données projet'!$A$140&gt;35,CT154+CS155-DB154,IF(A155&lt;'Données projet'!$A$140,$CQ$205^A155,IF(A155='Données projet'!$A$140,'Données projet'!$B$140,CT154+CS155-DB154)))</f>
        <v>279.11764705882354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1130.0530480509503</v>
      </c>
      <c r="S156" s="59">
        <f ca="1">AVERAGE(OFFSET($R$3,0,0,'Données projet'!$E$9+1,1))-AVERAGE(OFFSET($H$3,0,0,'Données projet'!$E$9+1,1))</f>
        <v>737.40414421611001</v>
      </c>
      <c r="T156" s="59">
        <f t="shared" si="142"/>
        <v>245.32893490531674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377.28055430105911</v>
      </c>
      <c r="AO156" s="59">
        <f t="shared" si="144"/>
        <v>364.58250627635425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12.245912685564054</v>
      </c>
      <c r="AV156" s="21">
        <f>EXP(-LN(2)/25)*AV155+(1-EXP(-LN(2)/25))/(LN(2)/25)*Calculateur!AQ156*Calculateur!AS156*VLOOKUP('Données projet'!$B$10,Paramètres!$A$1:$I$89,3,0)*0.475*44/12</f>
        <v>6.7812657903901288</v>
      </c>
      <c r="AW156" s="21">
        <f>EXP(-LN(2)/2)*AW155+(1-EXP(-LN(2)/2))/(LN(2)/2)*AQ156*AT156*VLOOKUP('Données projet'!$B$10,Paramètres!$A$1:$I$89,3,0)*0.475*44/12</f>
        <v>6.4230028531537137E-10</v>
      </c>
      <c r="AX156" s="21">
        <f t="shared" si="166"/>
        <v>19.027178476596482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4.4337866711430253E-14</v>
      </c>
      <c r="BF156" s="13">
        <f t="shared" si="167"/>
        <v>7.3222115536967035E-13</v>
      </c>
      <c r="BG156" s="20">
        <f t="shared" si="168"/>
        <v>1.3525069634579169E-12</v>
      </c>
      <c r="BH156" s="59">
        <f t="shared" si="116"/>
        <v>287.03264548950136</v>
      </c>
      <c r="BI156" s="59">
        <f ca="1">AVERAGE(OFFSET($BH$3,0,0,'Données projet'!$E$11+1,1))-AVERAGE(OFFSET($H$3,0,0,'Données projet'!$E$11+1,1))</f>
        <v>308.85018589589453</v>
      </c>
      <c r="BJ156" s="59">
        <f t="shared" si="146"/>
        <v>302.59481222418219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8.1467075259998083</v>
      </c>
      <c r="BQ156" s="21">
        <f>EXP(-LN(2)/25)*BQ155+(1-EXP(-LN(2)/25))/(LN(2)/25)*Calculateur!BL156*Calculateur!BN156*VLOOKUP('Données projet'!$B$11,Paramètres!$A$1:$I$89,3,0)*0.475*44/12</f>
        <v>4.1232592781992539</v>
      </c>
      <c r="BR156" s="21">
        <f>EXP(-LN(2)/2)*BR155+(1-EXP(-LN(2)/2))/(LN(2)/2)*BL156*BO156*VLOOKUP('Données projet'!$B$11,Paramètres!$A$1:$I$89,3,0)*0.475*44/12</f>
        <v>1.3814319948615658E-11</v>
      </c>
      <c r="BS156" s="22">
        <f t="shared" si="169"/>
        <v>12.269966804212876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-3.4705882352941178</v>
      </c>
      <c r="CT156" s="12">
        <f>IF('Données projet'!$A$140&gt;35,CT155+CS156-DB155,IF(A156&lt;'Données projet'!$A$140,$CQ$205^A156,IF(A156='Données projet'!$A$140,'Données projet'!$B$140,CT155+CS156-DB155)))</f>
        <v>275.64705882352939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840.43457667121857</v>
      </c>
      <c r="S157" s="59">
        <f ca="1">AVERAGE(OFFSET($R$3,0,0,'Données projet'!$E$9+1,1))-AVERAGE(OFFSET($H$3,0,0,'Données projet'!$E$9+1,1))</f>
        <v>737.40414421611001</v>
      </c>
      <c r="T157" s="59">
        <f t="shared" si="142"/>
        <v>245.32893490531674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377.28055430105911</v>
      </c>
      <c r="AO157" s="59">
        <f t="shared" si="144"/>
        <v>364.58250627635425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12.005777807069352</v>
      </c>
      <c r="AV157" s="21">
        <f>EXP(-LN(2)/25)*AV156+(1-EXP(-LN(2)/25))/(LN(2)/25)*Calculateur!AQ157*Calculateur!AS157*VLOOKUP('Données projet'!$B$10,Paramètres!$A$1:$I$89,3,0)*0.475*44/12</f>
        <v>6.5958317207406418</v>
      </c>
      <c r="AW157" s="21">
        <f>EXP(-LN(2)/2)*AW156+(1-EXP(-LN(2)/2))/(LN(2)/2)*AQ157*AT157*VLOOKUP('Données projet'!$B$10,Paramètres!$A$1:$I$89,3,0)*0.475*44/12</f>
        <v>4.5417488730455335E-10</v>
      </c>
      <c r="AX157" s="21">
        <f t="shared" si="166"/>
        <v>18.60160952826417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4.4337866711430253E-14</v>
      </c>
      <c r="BF157" s="13">
        <f t="shared" si="167"/>
        <v>7.3222115536967035E-13</v>
      </c>
      <c r="BG157" s="20">
        <f t="shared" si="168"/>
        <v>1.3525069634579169E-12</v>
      </c>
      <c r="BH157" s="59">
        <f t="shared" si="116"/>
        <v>287.14194833736411</v>
      </c>
      <c r="BI157" s="59">
        <f ca="1">AVERAGE(OFFSET($BH$3,0,0,'Données projet'!$E$11+1,1))-AVERAGE(OFFSET($H$3,0,0,'Données projet'!$E$11+1,1))</f>
        <v>308.85018589589453</v>
      </c>
      <c r="BJ157" s="59">
        <f t="shared" si="146"/>
        <v>302.59481222418219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7.9869555604158951</v>
      </c>
      <c r="BQ157" s="21">
        <f>EXP(-LN(2)/25)*BQ156+(1-EXP(-LN(2)/25))/(LN(2)/25)*Calculateur!BL157*Calculateur!BN157*VLOOKUP('Données projet'!$B$11,Paramètres!$A$1:$I$89,3,0)*0.475*44/12</f>
        <v>4.0105085364041138</v>
      </c>
      <c r="BR157" s="21">
        <f>EXP(-LN(2)/2)*BR156+(1-EXP(-LN(2)/2))/(LN(2)/2)*BL157*BO157*VLOOKUP('Données projet'!$B$11,Paramètres!$A$1:$I$89,3,0)*0.475*44/12</f>
        <v>9.7681993131467304E-12</v>
      </c>
      <c r="BS157" s="22">
        <f t="shared" si="169"/>
        <v>11.997464096829777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-3.4705882352941178</v>
      </c>
      <c r="CT157" s="12">
        <f>IF('Données projet'!$A$140&gt;35,CT156+CS157-DB156,IF(A157&lt;'Données projet'!$A$140,$CQ$205^A157,IF(A157='Données projet'!$A$140,'Données projet'!$B$140,CT156+CS157-DB156)))</f>
        <v>272.17647058823525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848.34980231467785</v>
      </c>
      <c r="S158" s="59">
        <f ca="1">AVERAGE(OFFSET($R$3,0,0,'Données projet'!$E$9+1,1))-AVERAGE(OFFSET($H$3,0,0,'Données projet'!$E$9+1,1))</f>
        <v>737.40414421611001</v>
      </c>
      <c r="T158" s="59">
        <f t="shared" si="142"/>
        <v>245.32893490531674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377.28055430105911</v>
      </c>
      <c r="AO158" s="59">
        <f t="shared" si="144"/>
        <v>364.58250627635425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11.770351827074117</v>
      </c>
      <c r="AV158" s="21">
        <f>EXP(-LN(2)/25)*AV157+(1-EXP(-LN(2)/25))/(LN(2)/25)*Calculateur!AQ158*Calculateur!AS158*VLOOKUP('Données projet'!$B$10,Paramètres!$A$1:$I$89,3,0)*0.475*44/12</f>
        <v>6.415468355477274</v>
      </c>
      <c r="AW158" s="21">
        <f>EXP(-LN(2)/2)*AW157+(1-EXP(-LN(2)/2))/(LN(2)/2)*AQ158*AT158*VLOOKUP('Données projet'!$B$10,Paramètres!$A$1:$I$89,3,0)*0.475*44/12</f>
        <v>3.2115014265768568E-10</v>
      </c>
      <c r="AX158" s="21">
        <f t="shared" si="166"/>
        <v>18.185820182872543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4.4337866711430253E-14</v>
      </c>
      <c r="BF158" s="13">
        <f t="shared" si="167"/>
        <v>7.3222115536967035E-13</v>
      </c>
      <c r="BG158" s="20">
        <f t="shared" si="168"/>
        <v>1.3525069634579169E-12</v>
      </c>
      <c r="BH158" s="59">
        <f t="shared" si="116"/>
        <v>287.24935502518105</v>
      </c>
      <c r="BI158" s="59">
        <f ca="1">AVERAGE(OFFSET($BH$3,0,0,'Données projet'!$E$11+1,1))-AVERAGE(OFFSET($H$3,0,0,'Données projet'!$E$11+1,1))</f>
        <v>308.85018589589453</v>
      </c>
      <c r="BJ158" s="59">
        <f t="shared" si="146"/>
        <v>302.59481222418219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7.830336233438004</v>
      </c>
      <c r="BQ158" s="21">
        <f>EXP(-LN(2)/25)*BQ157+(1-EXP(-LN(2)/25))/(LN(2)/25)*Calculateur!BL158*Calculateur!BN158*VLOOKUP('Données projet'!$B$11,Paramètres!$A$1:$I$89,3,0)*0.475*44/12</f>
        <v>3.9008409695726654</v>
      </c>
      <c r="BR158" s="21">
        <f>EXP(-LN(2)/2)*BR157+(1-EXP(-LN(2)/2))/(LN(2)/2)*BL158*BO158*VLOOKUP('Données projet'!$B$11,Paramètres!$A$1:$I$89,3,0)*0.475*44/12</f>
        <v>6.907159974307829E-12</v>
      </c>
      <c r="BS158" s="22">
        <f t="shared" si="169"/>
        <v>11.731177203017577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-3.4705882352941178</v>
      </c>
      <c r="CT158" s="12">
        <f>IF('Données projet'!$A$140&gt;35,CT157+CS158-DB157,IF(A158&lt;'Données projet'!$A$140,$CQ$205^A158,IF(A158='Données projet'!$A$140,'Données projet'!$B$140,CT157+CS158-DB157)))</f>
        <v>268.7058823529411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856.26089136258645</v>
      </c>
      <c r="S159" s="59">
        <f ca="1">AVERAGE(OFFSET($R$3,0,0,'Données projet'!$E$9+1,1))-AVERAGE(OFFSET($H$3,0,0,'Données projet'!$E$9+1,1))</f>
        <v>737.40414421611001</v>
      </c>
      <c r="T159" s="59">
        <f t="shared" si="142"/>
        <v>245.32893490531674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377.28055430105911</v>
      </c>
      <c r="AO159" s="59">
        <f t="shared" si="144"/>
        <v>364.58250627635425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11.53954240695092</v>
      </c>
      <c r="AV159" s="21">
        <f>EXP(-LN(2)/25)*AV158+(1-EXP(-LN(2)/25))/(LN(2)/25)*Calculateur!AQ159*Calculateur!AS159*VLOOKUP('Données projet'!$B$10,Paramètres!$A$1:$I$89,3,0)*0.475*44/12</f>
        <v>6.2400370359219295</v>
      </c>
      <c r="AW159" s="21">
        <f>EXP(-LN(2)/2)*AW158+(1-EXP(-LN(2)/2))/(LN(2)/2)*AQ159*AT159*VLOOKUP('Données projet'!$B$10,Paramètres!$A$1:$I$89,3,0)*0.475*44/12</f>
        <v>2.2708744365227668E-10</v>
      </c>
      <c r="AX159" s="21">
        <f t="shared" si="166"/>
        <v>17.779579443099937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4.4337866711430253E-14</v>
      </c>
      <c r="BF159" s="13">
        <f t="shared" si="167"/>
        <v>7.3222115536967035E-13</v>
      </c>
      <c r="BG159" s="20">
        <f t="shared" si="168"/>
        <v>1.3525069634579169E-12</v>
      </c>
      <c r="BH159" s="59">
        <f t="shared" si="116"/>
        <v>287.35489844708968</v>
      </c>
      <c r="BI159" s="59">
        <f ca="1">AVERAGE(OFFSET($BH$3,0,0,'Données projet'!$E$11+1,1))-AVERAGE(OFFSET($H$3,0,0,'Données projet'!$E$11+1,1))</f>
        <v>308.85018589589453</v>
      </c>
      <c r="BJ159" s="59">
        <f t="shared" si="146"/>
        <v>302.59481222418219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7.6767881159337934</v>
      </c>
      <c r="BQ159" s="21">
        <f>EXP(-LN(2)/25)*BQ158+(1-EXP(-LN(2)/25))/(LN(2)/25)*Calculateur!BL159*Calculateur!BN159*VLOOKUP('Données projet'!$B$11,Paramètres!$A$1:$I$89,3,0)*0.475*44/12</f>
        <v>3.7941722681233898</v>
      </c>
      <c r="BR159" s="21">
        <f>EXP(-LN(2)/2)*BR158+(1-EXP(-LN(2)/2))/(LN(2)/2)*BL159*BO159*VLOOKUP('Données projet'!$B$11,Paramètres!$A$1:$I$89,3,0)*0.475*44/12</f>
        <v>4.8840996565733652E-12</v>
      </c>
      <c r="BS159" s="22">
        <f t="shared" si="169"/>
        <v>11.470960384062067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-3.4705882352941178</v>
      </c>
      <c r="CT159" s="12">
        <f>IF('Données projet'!$A$140&gt;35,CT158+CS159-DB158,IF(A159&lt;'Données projet'!$A$140,$CQ$205^A159,IF(A159='Données projet'!$A$140,'Données projet'!$B$140,CT158+CS159-DB158)))</f>
        <v>265.23529411764696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675.54236880007079</v>
      </c>
      <c r="S160" s="59">
        <f ca="1">AVERAGE(OFFSET($R$3,0,0,'Données projet'!$E$9+1,1))-AVERAGE(OFFSET($H$3,0,0,'Données projet'!$E$9+1,1))</f>
        <v>737.40414421611001</v>
      </c>
      <c r="T160" s="59">
        <f t="shared" si="142"/>
        <v>245.32893490531674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377.28055430105911</v>
      </c>
      <c r="AO160" s="59">
        <f t="shared" si="144"/>
        <v>364.58250627635425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11.313259018776494</v>
      </c>
      <c r="AV160" s="21">
        <f>EXP(-LN(2)/25)*AV159+(1-EXP(-LN(2)/25))/(LN(2)/25)*Calculateur!AQ160*Calculateur!AS160*VLOOKUP('Données projet'!$B$10,Paramètres!$A$1:$I$89,3,0)*0.475*44/12</f>
        <v>6.069402895025358</v>
      </c>
      <c r="AW160" s="21">
        <f>EXP(-LN(2)/2)*AW159+(1-EXP(-LN(2)/2))/(LN(2)/2)*AQ160*AT160*VLOOKUP('Données projet'!$B$10,Paramètres!$A$1:$I$89,3,0)*0.475*44/12</f>
        <v>1.6057507132884284E-10</v>
      </c>
      <c r="AX160" s="21">
        <f t="shared" si="166"/>
        <v>17.382661913962426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4.4337866711430253E-14</v>
      </c>
      <c r="BF160" s="13">
        <f t="shared" si="167"/>
        <v>7.3222115536967035E-13</v>
      </c>
      <c r="BG160" s="20">
        <f t="shared" si="168"/>
        <v>1.3525069634579169E-12</v>
      </c>
      <c r="BH160" s="59">
        <f t="shared" si="116"/>
        <v>287.45861092658794</v>
      </c>
      <c r="BI160" s="59">
        <f ca="1">AVERAGE(OFFSET($BH$3,0,0,'Données projet'!$E$11+1,1))-AVERAGE(OFFSET($H$3,0,0,'Données projet'!$E$11+1,1))</f>
        <v>308.85018589589453</v>
      </c>
      <c r="BJ160" s="59">
        <f t="shared" si="146"/>
        <v>302.59481222418219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7.5262509833587359</v>
      </c>
      <c r="BQ160" s="21">
        <f>EXP(-LN(2)/25)*BQ159+(1-EXP(-LN(2)/25))/(LN(2)/25)*Calculateur!BL160*Calculateur!BN160*VLOOKUP('Données projet'!$B$11,Paramètres!$A$1:$I$89,3,0)*0.475*44/12</f>
        <v>3.6904204279247077</v>
      </c>
      <c r="BR160" s="21">
        <f>EXP(-LN(2)/2)*BR159+(1-EXP(-LN(2)/2))/(LN(2)/2)*BL160*BO160*VLOOKUP('Données projet'!$B$11,Paramètres!$A$1:$I$89,3,0)*0.475*44/12</f>
        <v>3.4535799871539145E-12</v>
      </c>
      <c r="BS160" s="22">
        <f t="shared" si="169"/>
        <v>11.216671411286896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-3.4705882352941178</v>
      </c>
      <c r="CT160" s="12">
        <f>IF('Données projet'!$A$140&gt;35,CT159+CS160-DB159,IF(A160&lt;'Données projet'!$A$140,$CQ$205^A160,IF(A160='Données projet'!$A$140,'Données projet'!$B$140,CT159+CS160-DB159)))</f>
        <v>261.76470588235281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680.26830925838385</v>
      </c>
      <c r="S161" s="59">
        <f ca="1">AVERAGE(OFFSET($R$3,0,0,'Données projet'!$E$9+1,1))-AVERAGE(OFFSET($H$3,0,0,'Données projet'!$E$9+1,1))</f>
        <v>737.40414421611001</v>
      </c>
      <c r="T161" s="59">
        <f t="shared" si="142"/>
        <v>245.32893490531674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377.28055430105911</v>
      </c>
      <c r="AO161" s="59">
        <f t="shared" si="144"/>
        <v>364.58250627635425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11.09141290982493</v>
      </c>
      <c r="AV161" s="21">
        <f>EXP(-LN(2)/25)*AV160+(1-EXP(-LN(2)/25))/(LN(2)/25)*Calculateur!AQ161*Calculateur!AS161*VLOOKUP('Données projet'!$B$10,Paramètres!$A$1:$I$89,3,0)*0.475*44/12</f>
        <v>5.9034347536848628</v>
      </c>
      <c r="AW161" s="21">
        <f>EXP(-LN(2)/2)*AW160+(1-EXP(-LN(2)/2))/(LN(2)/2)*AQ161*AT161*VLOOKUP('Données projet'!$B$10,Paramètres!$A$1:$I$89,3,0)*0.475*44/12</f>
        <v>1.1354372182613834E-10</v>
      </c>
      <c r="AX161" s="21">
        <f t="shared" si="166"/>
        <v>16.994847663623339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4.4337866711430253E-14</v>
      </c>
      <c r="BF161" s="13">
        <f t="shared" si="167"/>
        <v>7.3222115536967035E-13</v>
      </c>
      <c r="BG161" s="20">
        <f t="shared" si="168"/>
        <v>1.3525069634579169E-12</v>
      </c>
      <c r="BH161" s="59">
        <f t="shared" si="116"/>
        <v>287.56052422643336</v>
      </c>
      <c r="BI161" s="59">
        <f ca="1">AVERAGE(OFFSET($BH$3,0,0,'Données projet'!$E$11+1,1))-AVERAGE(OFFSET($H$3,0,0,'Données projet'!$E$11+1,1))</f>
        <v>308.85018589589453</v>
      </c>
      <c r="BJ161" s="59">
        <f t="shared" si="146"/>
        <v>302.59481222418219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7.3786657921348908</v>
      </c>
      <c r="BQ161" s="21">
        <f>EXP(-LN(2)/25)*BQ160+(1-EXP(-LN(2)/25))/(LN(2)/25)*Calculateur!BL161*Calculateur!BN161*VLOOKUP('Données projet'!$B$11,Paramètres!$A$1:$I$89,3,0)*0.475*44/12</f>
        <v>3.589505687252331</v>
      </c>
      <c r="BR161" s="21">
        <f>EXP(-LN(2)/2)*BR160+(1-EXP(-LN(2)/2))/(LN(2)/2)*BL161*BO161*VLOOKUP('Données projet'!$B$11,Paramètres!$A$1:$I$89,3,0)*0.475*44/12</f>
        <v>2.4420498282866826E-12</v>
      </c>
      <c r="BS161" s="22">
        <f t="shared" si="169"/>
        <v>10.968171479389664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-3.4705882352941178</v>
      </c>
      <c r="CT161" s="12">
        <f>IF('Données projet'!$A$140&gt;35,CT160+CS161-DB160,IF(A161&lt;'Données projet'!$A$140,$CQ$205^A161,IF(A161='Données projet'!$A$140,'Données projet'!$B$140,CT160+CS161-DB160)))</f>
        <v>258.29411764705867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684.99130105813344</v>
      </c>
      <c r="S162" s="59">
        <f ca="1">AVERAGE(OFFSET($R$3,0,0,'Données projet'!$E$9+1,1))-AVERAGE(OFFSET($H$3,0,0,'Données projet'!$E$9+1,1))</f>
        <v>737.40414421611001</v>
      </c>
      <c r="T162" s="59">
        <f t="shared" si="142"/>
        <v>245.32893490531674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377.28055430105911</v>
      </c>
      <c r="AO162" s="59">
        <f t="shared" si="144"/>
        <v>364.58250627635425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10.873917067757141</v>
      </c>
      <c r="AV162" s="21">
        <f>EXP(-LN(2)/25)*AV161+(1-EXP(-LN(2)/25))/(LN(2)/25)*Calculateur!AQ162*Calculateur!AS162*VLOOKUP('Données projet'!$B$10,Paramètres!$A$1:$I$89,3,0)*0.475*44/12</f>
        <v>5.742005019897209</v>
      </c>
      <c r="AW162" s="21">
        <f>EXP(-LN(2)/2)*AW161+(1-EXP(-LN(2)/2))/(LN(2)/2)*AQ162*AT162*VLOOKUP('Données projet'!$B$10,Paramètres!$A$1:$I$89,3,0)*0.475*44/12</f>
        <v>8.0287535664421421E-11</v>
      </c>
      <c r="AX162" s="21">
        <f t="shared" si="166"/>
        <v>16.615922087734639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4.4337866711430253E-14</v>
      </c>
      <c r="BF162" s="13">
        <f t="shared" si="167"/>
        <v>7.3222115536967035E-13</v>
      </c>
      <c r="BG162" s="20">
        <f t="shared" si="168"/>
        <v>1.3525069634579169E-12</v>
      </c>
      <c r="BH162" s="59">
        <f t="shared" si="116"/>
        <v>287.66066955837033</v>
      </c>
      <c r="BI162" s="59">
        <f ca="1">AVERAGE(OFFSET($BH$3,0,0,'Données projet'!$E$11+1,1))-AVERAGE(OFFSET($H$3,0,0,'Données projet'!$E$11+1,1))</f>
        <v>308.85018589589453</v>
      </c>
      <c r="BJ162" s="59">
        <f t="shared" si="146"/>
        <v>302.59481222418219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7.2339746564928671</v>
      </c>
      <c r="BQ162" s="21">
        <f>EXP(-LN(2)/25)*BQ161+(1-EXP(-LN(2)/25))/(LN(2)/25)*Calculateur!BL162*Calculateur!BN162*VLOOKUP('Données projet'!$B$11,Paramètres!$A$1:$I$89,3,0)*0.475*44/12</f>
        <v>3.4913504654705156</v>
      </c>
      <c r="BR162" s="21">
        <f>EXP(-LN(2)/2)*BR161+(1-EXP(-LN(2)/2))/(LN(2)/2)*BL162*BO162*VLOOKUP('Données projet'!$B$11,Paramètres!$A$1:$I$89,3,0)*0.475*44/12</f>
        <v>1.7267899935769572E-12</v>
      </c>
      <c r="BS162" s="22">
        <f t="shared" si="169"/>
        <v>10.72532512196511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-3.4705882352941178</v>
      </c>
      <c r="CT162" s="12">
        <f>IF('Données projet'!$A$140&gt;35,CT161+CS162-DB161,IF(A162&lt;'Données projet'!$A$140,$CQ$205^A162,IF(A162='Données projet'!$A$140,'Données projet'!$B$140,CT161+CS162-DB161)))</f>
        <v>254.82352941176455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287.75907759269711</v>
      </c>
      <c r="S163" s="59">
        <f ca="1">AVERAGE(OFFSET($R$3,0,0,'Données projet'!$E$9+1,1))-AVERAGE(OFFSET($H$3,0,0,'Données projet'!$E$9+1,1))</f>
        <v>737.40414421611001</v>
      </c>
      <c r="T163" s="59">
        <f t="shared" si="142"/>
        <v>245.32893490531674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377.28055430105911</v>
      </c>
      <c r="AO163" s="59">
        <f t="shared" si="144"/>
        <v>364.58250627635425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10.660686186492937</v>
      </c>
      <c r="AV163" s="21">
        <f>EXP(-LN(2)/25)*AV162+(1-EXP(-LN(2)/25))/(LN(2)/25)*Calculateur!AQ163*Calculateur!AS163*VLOOKUP('Données projet'!$B$10,Paramètres!$A$1:$I$89,3,0)*0.475*44/12</f>
        <v>5.5849895906691991</v>
      </c>
      <c r="AW163" s="21">
        <f>EXP(-LN(2)/2)*AW162+(1-EXP(-LN(2)/2))/(LN(2)/2)*AQ163*AT163*VLOOKUP('Données projet'!$B$10,Paramètres!$A$1:$I$89,3,0)*0.475*44/12</f>
        <v>5.6771860913069169E-11</v>
      </c>
      <c r="AX163" s="21">
        <f t="shared" si="166"/>
        <v>16.245675777218906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4.4337866711430253E-14</v>
      </c>
      <c r="BF163" s="13">
        <f t="shared" si="167"/>
        <v>7.3222115536967035E-13</v>
      </c>
      <c r="BG163" s="20">
        <f t="shared" si="168"/>
        <v>1.3525069634579169E-12</v>
      </c>
      <c r="BH163" s="59">
        <f t="shared" si="116"/>
        <v>287.75907759268972</v>
      </c>
      <c r="BI163" s="59">
        <f ca="1">AVERAGE(OFFSET($BH$3,0,0,'Données projet'!$E$11+1,1))-AVERAGE(OFFSET($H$3,0,0,'Données projet'!$E$11+1,1))</f>
        <v>308.85018589589453</v>
      </c>
      <c r="BJ163" s="59">
        <f t="shared" si="146"/>
        <v>302.59481222418219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7.0921208257679051</v>
      </c>
      <c r="BQ163" s="21">
        <f>EXP(-LN(2)/25)*BQ162+(1-EXP(-LN(2)/25))/(LN(2)/25)*Calculateur!BL163*Calculateur!BN163*VLOOKUP('Données projet'!$B$11,Paramètres!$A$1:$I$89,3,0)*0.475*44/12</f>
        <v>3.3958793033900831</v>
      </c>
      <c r="BR163" s="21">
        <f>EXP(-LN(2)/2)*BR162+(1-EXP(-LN(2)/2))/(LN(2)/2)*BL163*BO163*VLOOKUP('Données projet'!$B$11,Paramètres!$A$1:$I$89,3,0)*0.475*44/12</f>
        <v>1.2210249141433413E-12</v>
      </c>
      <c r="BS163" s="22">
        <f t="shared" si="169"/>
        <v>10.488000129159209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-3.4705882352941178</v>
      </c>
      <c r="CT163" s="12">
        <f>IF('Données projet'!$A$140&gt;35,CT162+CS163-DB162,IF(A163&lt;'Données projet'!$A$140,$CQ$205^A163,IF(A163='Données projet'!$A$140,'Données projet'!$B$140,CT162+CS163-DB162)))</f>
        <v>251.35294117647044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287.85577846762845</v>
      </c>
      <c r="S164" s="59">
        <f ca="1">AVERAGE(OFFSET($R$3,0,0,'Données projet'!$E$9+1,1))-AVERAGE(OFFSET($H$3,0,0,'Données projet'!$E$9+1,1))</f>
        <v>737.40414421611001</v>
      </c>
      <c r="T164" s="59">
        <f t="shared" si="142"/>
        <v>245.32893490531674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377.28055430105911</v>
      </c>
      <c r="AO164" s="59">
        <f t="shared" si="144"/>
        <v>364.58250627635425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10.451636632752328</v>
      </c>
      <c r="AV164" s="21">
        <f>EXP(-LN(2)/25)*AV163+(1-EXP(-LN(2)/25))/(LN(2)/25)*Calculateur!AQ164*Calculateur!AS164*VLOOKUP('Données projet'!$B$10,Paramètres!$A$1:$I$89,3,0)*0.475*44/12</f>
        <v>5.4322677566105115</v>
      </c>
      <c r="AW164" s="21">
        <f>EXP(-LN(2)/2)*AW163+(1-EXP(-LN(2)/2))/(LN(2)/2)*AQ164*AT164*VLOOKUP('Données projet'!$B$10,Paramètres!$A$1:$I$89,3,0)*0.475*44/12</f>
        <v>4.0143767832210711E-11</v>
      </c>
      <c r="AX164" s="21">
        <f t="shared" si="166"/>
        <v>15.883904389402984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4.4337866711430253E-14</v>
      </c>
      <c r="BF164" s="13">
        <f t="shared" si="167"/>
        <v>7.3222115536967035E-13</v>
      </c>
      <c r="BG164" s="20">
        <f t="shared" si="168"/>
        <v>1.3525069634579169E-12</v>
      </c>
      <c r="BH164" s="59">
        <f t="shared" si="116"/>
        <v>287.85577846762106</v>
      </c>
      <c r="BI164" s="59">
        <f ca="1">AVERAGE(OFFSET($BH$3,0,0,'Données projet'!$E$11+1,1))-AVERAGE(OFFSET($H$3,0,0,'Données projet'!$E$11+1,1))</f>
        <v>308.85018589589453</v>
      </c>
      <c r="BJ164" s="59">
        <f t="shared" si="146"/>
        <v>302.59481222418219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6.9530486621411667</v>
      </c>
      <c r="BQ164" s="21">
        <f>EXP(-LN(2)/25)*BQ163+(1-EXP(-LN(2)/25))/(LN(2)/25)*Calculateur!BL164*Calculateur!BN164*VLOOKUP('Données projet'!$B$11,Paramètres!$A$1:$I$89,3,0)*0.475*44/12</f>
        <v>3.3030188052573504</v>
      </c>
      <c r="BR164" s="21">
        <f>EXP(-LN(2)/2)*BR163+(1-EXP(-LN(2)/2))/(LN(2)/2)*BL164*BO164*VLOOKUP('Données projet'!$B$11,Paramètres!$A$1:$I$89,3,0)*0.475*44/12</f>
        <v>8.6339499678847862E-13</v>
      </c>
      <c r="BS164" s="22">
        <f t="shared" si="169"/>
        <v>10.256067467399379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-3.4705882352941178</v>
      </c>
      <c r="CT164" s="12">
        <f>IF('Données projet'!$A$140&gt;35,CT163+CS164-DB163,IF(A164&lt;'Données projet'!$A$140,$CQ$205^A164,IF(A164='Données projet'!$A$140,'Données projet'!$B$140,CT163+CS164-DB163)))</f>
        <v>247.88235294117632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287.95080179857047</v>
      </c>
      <c r="S165" s="59">
        <f ca="1">AVERAGE(OFFSET($R$3,0,0,'Données projet'!$E$9+1,1))-AVERAGE(OFFSET($H$3,0,0,'Données projet'!$E$9+1,1))</f>
        <v>737.40414421611001</v>
      </c>
      <c r="T165" s="59">
        <f t="shared" si="142"/>
        <v>245.32893490531674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377.28055430105911</v>
      </c>
      <c r="AO165" s="59">
        <f t="shared" si="144"/>
        <v>364.58250627635425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10.246686413252934</v>
      </c>
      <c r="AV165" s="21">
        <f>EXP(-LN(2)/25)*AV164+(1-EXP(-LN(2)/25))/(LN(2)/25)*Calculateur!AQ165*Calculateur!AS165*VLOOKUP('Données projet'!$B$10,Paramètres!$A$1:$I$89,3,0)*0.475*44/12</f>
        <v>5.2837221091354518</v>
      </c>
      <c r="AW165" s="21">
        <f>EXP(-LN(2)/2)*AW164+(1-EXP(-LN(2)/2))/(LN(2)/2)*AQ165*AT165*VLOOKUP('Données projet'!$B$10,Paramètres!$A$1:$I$89,3,0)*0.475*44/12</f>
        <v>2.8385930456534585E-11</v>
      </c>
      <c r="AX165" s="21">
        <f t="shared" si="166"/>
        <v>15.530408522416772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4.4337866711430253E-14</v>
      </c>
      <c r="BF165" s="13">
        <f t="shared" si="167"/>
        <v>7.3222115536967035E-13</v>
      </c>
      <c r="BG165" s="20">
        <f t="shared" si="168"/>
        <v>1.3525069634579169E-12</v>
      </c>
      <c r="BH165" s="59">
        <f t="shared" si="116"/>
        <v>287.95080179856308</v>
      </c>
      <c r="BI165" s="59">
        <f ca="1">AVERAGE(OFFSET($BH$3,0,0,'Données projet'!$E$11+1,1))-AVERAGE(OFFSET($H$3,0,0,'Données projet'!$E$11+1,1))</f>
        <v>308.85018589589453</v>
      </c>
      <c r="BJ165" s="59">
        <f t="shared" si="146"/>
        <v>302.59481222418219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6.8167036188175043</v>
      </c>
      <c r="BQ165" s="21">
        <f>EXP(-LN(2)/25)*BQ164+(1-EXP(-LN(2)/25))/(LN(2)/25)*Calculateur!BL165*Calculateur!BN165*VLOOKUP('Données projet'!$B$11,Paramètres!$A$1:$I$89,3,0)*0.475*44/12</f>
        <v>3.2126975823293784</v>
      </c>
      <c r="BR165" s="21">
        <f>EXP(-LN(2)/2)*BR164+(1-EXP(-LN(2)/2))/(LN(2)/2)*BL165*BO165*VLOOKUP('Données projet'!$B$11,Paramètres!$A$1:$I$89,3,0)*0.475*44/12</f>
        <v>6.1051245707167065E-13</v>
      </c>
      <c r="BS165" s="22">
        <f t="shared" si="169"/>
        <v>10.029401201147493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-3.4705882352941178</v>
      </c>
      <c r="CT165" s="12">
        <f>IF('Données projet'!$A$140&gt;35,CT164+CS165-DB164,IF(A165&lt;'Données projet'!$A$140,$CQ$205^A165,IF(A165='Données projet'!$A$140,'Données projet'!$B$140,CT164+CS165-DB164)))</f>
        <v>244.41176470588221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288.04417668716098</v>
      </c>
      <c r="S166" s="59">
        <f ca="1">AVERAGE(OFFSET($R$3,0,0,'Données projet'!$E$9+1,1))-AVERAGE(OFFSET($H$3,0,0,'Données projet'!$E$9+1,1))</f>
        <v>737.40414421611001</v>
      </c>
      <c r="T166" s="59">
        <f t="shared" si="142"/>
        <v>245.32893490531674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377.28055430105911</v>
      </c>
      <c r="AO166" s="59">
        <f t="shared" si="144"/>
        <v>364.58250627635425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10.045755142550634</v>
      </c>
      <c r="AV166" s="21">
        <f>EXP(-LN(2)/25)*AV165+(1-EXP(-LN(2)/25))/(LN(2)/25)*Calculateur!AQ166*Calculateur!AS166*VLOOKUP('Données projet'!$B$10,Paramètres!$A$1:$I$89,3,0)*0.475*44/12</f>
        <v>5.1392384502022734</v>
      </c>
      <c r="AW166" s="21">
        <f>EXP(-LN(2)/2)*AW165+(1-EXP(-LN(2)/2))/(LN(2)/2)*AQ166*AT166*VLOOKUP('Données projet'!$B$10,Paramètres!$A$1:$I$89,3,0)*0.475*44/12</f>
        <v>2.0071883916105355E-11</v>
      </c>
      <c r="AX166" s="21">
        <f t="shared" si="166"/>
        <v>15.184993592772978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4.4337866711430253E-14</v>
      </c>
      <c r="BF166" s="13">
        <f t="shared" si="167"/>
        <v>7.3222115536967035E-13</v>
      </c>
      <c r="BG166" s="20">
        <f t="shared" si="168"/>
        <v>1.3525069634579169E-12</v>
      </c>
      <c r="BH166" s="59">
        <f t="shared" si="116"/>
        <v>288.04417668715359</v>
      </c>
      <c r="BI166" s="59">
        <f ca="1">AVERAGE(OFFSET($BH$3,0,0,'Données projet'!$E$11+1,1))-AVERAGE(OFFSET($H$3,0,0,'Données projet'!$E$11+1,1))</f>
        <v>308.85018589589453</v>
      </c>
      <c r="BJ166" s="59">
        <f t="shared" si="146"/>
        <v>302.59481222418219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6.6830322186311539</v>
      </c>
      <c r="BQ166" s="21">
        <f>EXP(-LN(2)/25)*BQ165+(1-EXP(-LN(2)/25))/(LN(2)/25)*Calculateur!BL166*Calculateur!BN166*VLOOKUP('Données projet'!$B$11,Paramètres!$A$1:$I$89,3,0)*0.475*44/12</f>
        <v>3.1248461979921585</v>
      </c>
      <c r="BR166" s="21">
        <f>EXP(-LN(2)/2)*BR165+(1-EXP(-LN(2)/2))/(LN(2)/2)*BL166*BO166*VLOOKUP('Données projet'!$B$11,Paramètres!$A$1:$I$89,3,0)*0.475*44/12</f>
        <v>4.3169749839423931E-13</v>
      </c>
      <c r="BS166" s="22">
        <f t="shared" si="169"/>
        <v>9.807878416623744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-3.4705882352941178</v>
      </c>
      <c r="CT166" s="12">
        <f>IF('Données projet'!$A$140&gt;35,CT165+CS166-DB165,IF(A166&lt;'Données projet'!$A$140,$CQ$205^A166,IF(A166='Données projet'!$A$140,'Données projet'!$B$140,CT165+CS166-DB165)))</f>
        <v>240.94117647058809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288.13593173018944</v>
      </c>
      <c r="S167" s="59">
        <f ca="1">AVERAGE(OFFSET($R$3,0,0,'Données projet'!$E$9+1,1))-AVERAGE(OFFSET($H$3,0,0,'Données projet'!$E$9+1,1))</f>
        <v>737.40414421611001</v>
      </c>
      <c r="T167" s="59">
        <f t="shared" si="142"/>
        <v>245.32893490531674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377.28055430105911</v>
      </c>
      <c r="AO167" s="59">
        <f t="shared" si="144"/>
        <v>364.58250627635425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9.8487640115108324</v>
      </c>
      <c r="AV167" s="21">
        <f>EXP(-LN(2)/25)*AV166+(1-EXP(-LN(2)/25))/(LN(2)/25)*Calculateur!AQ167*Calculateur!AS167*VLOOKUP('Données projet'!$B$10,Paramètres!$A$1:$I$89,3,0)*0.475*44/12</f>
        <v>4.9987057045206882</v>
      </c>
      <c r="AW167" s="21">
        <f>EXP(-LN(2)/2)*AW166+(1-EXP(-LN(2)/2))/(LN(2)/2)*AQ167*AT167*VLOOKUP('Données projet'!$B$10,Paramètres!$A$1:$I$89,3,0)*0.475*44/12</f>
        <v>1.4192965228267292E-11</v>
      </c>
      <c r="AX167" s="21">
        <f t="shared" si="166"/>
        <v>14.847469716045714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4.4337866711430253E-14</v>
      </c>
      <c r="BF167" s="13">
        <f t="shared" si="167"/>
        <v>7.3222115536967035E-13</v>
      </c>
      <c r="BG167" s="20">
        <f t="shared" si="168"/>
        <v>1.3525069634579169E-12</v>
      </c>
      <c r="BH167" s="59">
        <f t="shared" si="116"/>
        <v>288.13593173018205</v>
      </c>
      <c r="BI167" s="59">
        <f ca="1">AVERAGE(OFFSET($BH$3,0,0,'Données projet'!$E$11+1,1))-AVERAGE(OFFSET($H$3,0,0,'Données projet'!$E$11+1,1))</f>
        <v>308.85018589589453</v>
      </c>
      <c r="BJ167" s="59">
        <f t="shared" si="146"/>
        <v>302.59481222418219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6.5519820330709546</v>
      </c>
      <c r="BQ167" s="21">
        <f>EXP(-LN(2)/25)*BQ166+(1-EXP(-LN(2)/25))/(LN(2)/25)*Calculateur!BL167*Calculateur!BN167*VLOOKUP('Données projet'!$B$11,Paramètres!$A$1:$I$89,3,0)*0.475*44/12</f>
        <v>3.0393971143795433</v>
      </c>
      <c r="BR167" s="21">
        <f>EXP(-LN(2)/2)*BR166+(1-EXP(-LN(2)/2))/(LN(2)/2)*BL167*BO167*VLOOKUP('Données projet'!$B$11,Paramètres!$A$1:$I$89,3,0)*0.475*44/12</f>
        <v>3.0525622853583532E-13</v>
      </c>
      <c r="BS167" s="22">
        <f t="shared" si="169"/>
        <v>9.5913791474508034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-3.4705882352941178</v>
      </c>
      <c r="CT167" s="12">
        <f>IF('Données projet'!$A$140&gt;35,CT166+CS167-DB166,IF(A167&lt;'Données projet'!$A$140,$CQ$205^A167,IF(A167='Données projet'!$A$140,'Données projet'!$B$140,CT166+CS167-DB166)))</f>
        <v>237.47058823529397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288.22609502835491</v>
      </c>
      <c r="S168" s="59">
        <f ca="1">AVERAGE(OFFSET($R$3,0,0,'Données projet'!$E$9+1,1))-AVERAGE(OFFSET($H$3,0,0,'Données projet'!$E$9+1,1))</f>
        <v>737.40414421611001</v>
      </c>
      <c r="T168" s="59">
        <f t="shared" si="142"/>
        <v>245.32893490531674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377.28055430105911</v>
      </c>
      <c r="AO168" s="59">
        <f t="shared" si="144"/>
        <v>364.58250627635425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9.6556357563979951</v>
      </c>
      <c r="AV168" s="21">
        <f>EXP(-LN(2)/25)*AV167+(1-EXP(-LN(2)/25))/(LN(2)/25)*Calculateur!AQ168*Calculateur!AS168*VLOOKUP('Données projet'!$B$10,Paramètres!$A$1:$I$89,3,0)*0.475*44/12</f>
        <v>4.8620158341600614</v>
      </c>
      <c r="AW168" s="21">
        <f>EXP(-LN(2)/2)*AW167+(1-EXP(-LN(2)/2))/(LN(2)/2)*AQ168*AT168*VLOOKUP('Données projet'!$B$10,Paramètres!$A$1:$I$89,3,0)*0.475*44/12</f>
        <v>1.0035941958052678E-11</v>
      </c>
      <c r="AX168" s="21">
        <f t="shared" si="166"/>
        <v>14.517651590568093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4.4337866711430253E-14</v>
      </c>
      <c r="BF168" s="13">
        <f t="shared" si="167"/>
        <v>7.3222115536967035E-13</v>
      </c>
      <c r="BG168" s="20">
        <f t="shared" si="168"/>
        <v>1.3525069634579169E-12</v>
      </c>
      <c r="BH168" s="59">
        <f t="shared" si="116"/>
        <v>288.22609502834752</v>
      </c>
      <c r="BI168" s="59">
        <f ca="1">AVERAGE(OFFSET($BH$3,0,0,'Données projet'!$E$11+1,1))-AVERAGE(OFFSET($H$3,0,0,'Données projet'!$E$11+1,1))</f>
        <v>308.85018589589453</v>
      </c>
      <c r="BJ168" s="59">
        <f t="shared" si="146"/>
        <v>302.59481222418219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6.4235016617168696</v>
      </c>
      <c r="BQ168" s="21">
        <f>EXP(-LN(2)/25)*BQ167+(1-EXP(-LN(2)/25))/(LN(2)/25)*Calculateur!BL168*Calculateur!BN168*VLOOKUP('Données projet'!$B$11,Paramètres!$A$1:$I$89,3,0)*0.475*44/12</f>
        <v>2.9562846404518872</v>
      </c>
      <c r="BR168" s="21">
        <f>EXP(-LN(2)/2)*BR167+(1-EXP(-LN(2)/2))/(LN(2)/2)*BL168*BO168*VLOOKUP('Données projet'!$B$11,Paramètres!$A$1:$I$89,3,0)*0.475*44/12</f>
        <v>2.1584874919711966E-13</v>
      </c>
      <c r="BS168" s="22">
        <f t="shared" si="169"/>
        <v>9.3797863021689736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-3.4705882352941178</v>
      </c>
      <c r="CT168" s="12">
        <f>IF('Données projet'!$A$140&gt;35,CT167+CS168-DB167,IF(A168&lt;'Données projet'!$A$140,$CQ$205^A168,IF(A168='Données projet'!$A$140,'Données projet'!$B$140,CT167+CS168-DB167)))</f>
        <v>233.99999999999986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288.31469419487217</v>
      </c>
      <c r="S169" s="59">
        <f ca="1">AVERAGE(OFFSET($R$3,0,0,'Données projet'!$E$9+1,1))-AVERAGE(OFFSET($H$3,0,0,'Données projet'!$E$9+1,1))</f>
        <v>737.40414421611001</v>
      </c>
      <c r="T169" s="59">
        <f t="shared" si="142"/>
        <v>245.32893490531674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377.28055430105911</v>
      </c>
      <c r="AO169" s="59">
        <f t="shared" si="144"/>
        <v>364.58250627635425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9.4662946285713154</v>
      </c>
      <c r="AV169" s="21">
        <f>EXP(-LN(2)/25)*AV168+(1-EXP(-LN(2)/25))/(LN(2)/25)*Calculateur!AQ169*Calculateur!AS169*VLOOKUP('Données projet'!$B$10,Paramètres!$A$1:$I$89,3,0)*0.475*44/12</f>
        <v>4.7290637554926542</v>
      </c>
      <c r="AW169" s="21">
        <f>EXP(-LN(2)/2)*AW168+(1-EXP(-LN(2)/2))/(LN(2)/2)*AQ169*AT169*VLOOKUP('Données projet'!$B$10,Paramètres!$A$1:$I$89,3,0)*0.475*44/12</f>
        <v>7.0964826141336461E-12</v>
      </c>
      <c r="AX169" s="21">
        <f t="shared" si="166"/>
        <v>14.195358384071065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4.4337866711430253E-14</v>
      </c>
      <c r="BF169" s="13">
        <f t="shared" si="167"/>
        <v>7.3222115536967035E-13</v>
      </c>
      <c r="BG169" s="20">
        <f t="shared" si="168"/>
        <v>1.3525069634579169E-12</v>
      </c>
      <c r="BH169" s="59">
        <f t="shared" si="116"/>
        <v>288.31469419486479</v>
      </c>
      <c r="BI169" s="59">
        <f ca="1">AVERAGE(OFFSET($BH$3,0,0,'Données projet'!$E$11+1,1))-AVERAGE(OFFSET($H$3,0,0,'Données projet'!$E$11+1,1))</f>
        <v>308.85018589589453</v>
      </c>
      <c r="BJ169" s="59">
        <f t="shared" si="146"/>
        <v>302.59481222418219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6.2975407120797504</v>
      </c>
      <c r="BQ169" s="21">
        <f>EXP(-LN(2)/25)*BQ168+(1-EXP(-LN(2)/25))/(LN(2)/25)*Calculateur!BL169*Calculateur!BN169*VLOOKUP('Données projet'!$B$11,Paramètres!$A$1:$I$89,3,0)*0.475*44/12</f>
        <v>2.8754448814944777</v>
      </c>
      <c r="BR169" s="21">
        <f>EXP(-LN(2)/2)*BR168+(1-EXP(-LN(2)/2))/(LN(2)/2)*BL169*BO169*VLOOKUP('Données projet'!$B$11,Paramètres!$A$1:$I$89,3,0)*0.475*44/12</f>
        <v>1.5262811426791766E-13</v>
      </c>
      <c r="BS169" s="22">
        <f t="shared" si="169"/>
        <v>9.1729855935743814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-3.4705882352941178</v>
      </c>
      <c r="CT169" s="12">
        <f>IF('Données projet'!$A$140&gt;35,CT168+CS169-DB168,IF(A169&lt;'Données projet'!$A$140,$CQ$205^A169,IF(A169='Données projet'!$A$140,'Données projet'!$B$140,CT168+CS169-DB168)))</f>
        <v>230.52941176470574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288.40175636392837</v>
      </c>
      <c r="S170" s="59">
        <f ca="1">AVERAGE(OFFSET($R$3,0,0,'Données projet'!$E$9+1,1))-AVERAGE(OFFSET($H$3,0,0,'Données projet'!$E$9+1,1))</f>
        <v>737.40414421611001</v>
      </c>
      <c r="T170" s="59">
        <f t="shared" si="142"/>
        <v>245.32893490531674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377.28055430105911</v>
      </c>
      <c r="AO170" s="59">
        <f t="shared" si="144"/>
        <v>364.58250627635425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9.2806663647746337</v>
      </c>
      <c r="AV170" s="21">
        <f>EXP(-LN(2)/25)*AV169+(1-EXP(-LN(2)/25))/(LN(2)/25)*Calculateur!AQ170*Calculateur!AS170*VLOOKUP('Données projet'!$B$10,Paramètres!$A$1:$I$89,3,0)*0.475*44/12</f>
        <v>4.599747258408053</v>
      </c>
      <c r="AW170" s="21">
        <f>EXP(-LN(2)/2)*AW169+(1-EXP(-LN(2)/2))/(LN(2)/2)*AQ170*AT170*VLOOKUP('Données projet'!$B$10,Paramètres!$A$1:$I$89,3,0)*0.475*44/12</f>
        <v>5.0179709790263388E-12</v>
      </c>
      <c r="AX170" s="21">
        <f t="shared" si="166"/>
        <v>13.880413623187705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4.4337866711430253E-14</v>
      </c>
      <c r="BF170" s="13">
        <f t="shared" si="167"/>
        <v>7.3222115536967035E-13</v>
      </c>
      <c r="BG170" s="20">
        <f t="shared" si="168"/>
        <v>1.3525069634579169E-12</v>
      </c>
      <c r="BH170" s="59">
        <f t="shared" si="116"/>
        <v>288.40175636392098</v>
      </c>
      <c r="BI170" s="59">
        <f ca="1">AVERAGE(OFFSET($BH$3,0,0,'Données projet'!$E$11+1,1))-AVERAGE(OFFSET($H$3,0,0,'Données projet'!$E$11+1,1))</f>
        <v>308.85018589589453</v>
      </c>
      <c r="BJ170" s="59">
        <f t="shared" si="146"/>
        <v>302.59481222418219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6.1740497798364213</v>
      </c>
      <c r="BQ170" s="21">
        <f>EXP(-LN(2)/25)*BQ169+(1-EXP(-LN(2)/25))/(LN(2)/25)*Calculateur!BL170*Calculateur!BN170*VLOOKUP('Données projet'!$B$11,Paramètres!$A$1:$I$89,3,0)*0.475*44/12</f>
        <v>2.796815689996937</v>
      </c>
      <c r="BR170" s="21">
        <f>EXP(-LN(2)/2)*BR169+(1-EXP(-LN(2)/2))/(LN(2)/2)*BL170*BO170*VLOOKUP('Données projet'!$B$11,Paramètres!$A$1:$I$89,3,0)*0.475*44/12</f>
        <v>1.0792437459855983E-13</v>
      </c>
      <c r="BS170" s="22">
        <f t="shared" si="169"/>
        <v>8.9708654698334662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-3.4705882352941178</v>
      </c>
      <c r="CT170" s="12">
        <f>IF('Données projet'!$A$140&gt;35,CT169+CS170-DB169,IF(A170&lt;'Données projet'!$A$140,$CQ$205^A170,IF(A170='Données projet'!$A$140,'Données projet'!$B$140,CT169+CS170-DB169)))</f>
        <v>227.05882352941163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288.48730819899328</v>
      </c>
      <c r="S171" s="59">
        <f ca="1">AVERAGE(OFFSET($R$3,0,0,'Données projet'!$E$9+1,1))-AVERAGE(OFFSET($H$3,0,0,'Données projet'!$E$9+1,1))</f>
        <v>737.40414421611001</v>
      </c>
      <c r="T171" s="59">
        <f t="shared" si="142"/>
        <v>245.32893490531674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377.28055430105911</v>
      </c>
      <c r="AO171" s="59">
        <f t="shared" si="144"/>
        <v>364.58250627635425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9.0986781580089424</v>
      </c>
      <c r="AV171" s="21">
        <f>EXP(-LN(2)/25)*AV170+(1-EXP(-LN(2)/25))/(LN(2)/25)*Calculateur!AQ171*Calculateur!AS171*VLOOKUP('Données projet'!$B$10,Paramètres!$A$1:$I$89,3,0)*0.475*44/12</f>
        <v>4.4739669277366891</v>
      </c>
      <c r="AW171" s="21">
        <f>EXP(-LN(2)/2)*AW170+(1-EXP(-LN(2)/2))/(LN(2)/2)*AQ171*AT171*VLOOKUP('Données projet'!$B$10,Paramètres!$A$1:$I$89,3,0)*0.475*44/12</f>
        <v>3.5482413070668231E-12</v>
      </c>
      <c r="AX171" s="21">
        <f t="shared" si="166"/>
        <v>13.572645085749178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4.4337866711430253E-14</v>
      </c>
      <c r="BF171" s="13">
        <f t="shared" si="167"/>
        <v>7.3222115536967035E-13</v>
      </c>
      <c r="BG171" s="20">
        <f t="shared" si="168"/>
        <v>1.3525069634579169E-12</v>
      </c>
      <c r="BH171" s="59">
        <f t="shared" si="116"/>
        <v>288.48730819898589</v>
      </c>
      <c r="BI171" s="59">
        <f ca="1">AVERAGE(OFFSET($BH$3,0,0,'Données projet'!$E$11+1,1))-AVERAGE(OFFSET($H$3,0,0,'Données projet'!$E$11+1,1))</f>
        <v>308.85018589589453</v>
      </c>
      <c r="BJ171" s="59">
        <f t="shared" si="146"/>
        <v>302.59481222418219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6.0529804294523535</v>
      </c>
      <c r="BQ171" s="21">
        <f>EXP(-LN(2)/25)*BQ170+(1-EXP(-LN(2)/25))/(LN(2)/25)*Calculateur!BL171*Calculateur!BN171*VLOOKUP('Données projet'!$B$11,Paramètres!$A$1:$I$89,3,0)*0.475*44/12</f>
        <v>2.7203366178758257</v>
      </c>
      <c r="BR171" s="21">
        <f>EXP(-LN(2)/2)*BR170+(1-EXP(-LN(2)/2))/(LN(2)/2)*BL171*BO171*VLOOKUP('Données projet'!$B$11,Paramètres!$A$1:$I$89,3,0)*0.475*44/12</f>
        <v>7.6314057133958831E-14</v>
      </c>
      <c r="BS171" s="22">
        <f t="shared" si="169"/>
        <v>8.7733170473282556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>
        <f>VLOOKUP(A171,'Données projet'!$A$139:$I$159,2,0)</f>
        <v>369</v>
      </c>
      <c r="CR171" s="12">
        <f>VLOOKUP(A171,'Données projet'!$A$139:$I$159,9,0)</f>
        <v>-3.4705882352941178</v>
      </c>
      <c r="CS171" s="12">
        <f t="array" ref="CS171">INDEX(CR:CR,MIN(IF(ISNUMBER(CR171:CR367),ROW(CR171:CR367),"")))</f>
        <v>-3.4705882352941178</v>
      </c>
      <c r="CT171" s="12">
        <f>IF('Données projet'!$A$140&gt;35,CT170+CS171-DB170,IF(A171&lt;'Données projet'!$A$140,$CQ$205^A171,IF(A171='Données projet'!$A$140,'Données projet'!$B$140,CT170+CS171-DB170)))</f>
        <v>223.58823529411751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15</v>
      </c>
      <c r="DB171" s="15">
        <f>IF(ISNA(VLOOKUP(A171,'Données projet'!$A$139:$I$159,4,0)),0,VLOOKUP(A171,'Données projet'!$A$139:$I$159,4,0))</f>
        <v>41</v>
      </c>
      <c r="DC171" s="16" t="e">
        <f>IF(ISNA(VLOOKUP(A171,'Données projet'!$A$139:$I$159,5,0)),0%,VLOOKUP(A171,'Données projet'!$A$139:$I$159,5,0)*VLOOKUP('Données projet'!$B$13,Paramètres!$A$1:$I$89,7,0))</f>
        <v>#N/A</v>
      </c>
      <c r="DD171" s="16" t="e">
        <f>IF(ISNA(VLOOKUP(A171,'Données projet'!$A$139:$I$159,6,0)),0%,VLOOKUP(A171,'Données projet'!$A$139:$I$159,6,0)*VLOOKUP('Données projet'!$B$13,Paramètres!$A$1:$I$89,7,0))</f>
        <v>#N/A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288.57137590098517</v>
      </c>
      <c r="S172" s="59">
        <f ca="1">AVERAGE(OFFSET($R$3,0,0,'Données projet'!$E$9+1,1))-AVERAGE(OFFSET($H$3,0,0,'Données projet'!$E$9+1,1))</f>
        <v>737.40414421611001</v>
      </c>
      <c r="T172" s="59">
        <f t="shared" si="142"/>
        <v>245.32893490531674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377.28055430105911</v>
      </c>
      <c r="AO172" s="59">
        <f t="shared" si="144"/>
        <v>364.58250627635425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8.9202586289760806</v>
      </c>
      <c r="AV172" s="21">
        <f>EXP(-LN(2)/25)*AV171+(1-EXP(-LN(2)/25))/(LN(2)/25)*Calculateur!AQ172*Calculateur!AS172*VLOOKUP('Données projet'!$B$10,Paramètres!$A$1:$I$89,3,0)*0.475*44/12</f>
        <v>4.3516260668220337</v>
      </c>
      <c r="AW172" s="21">
        <f>EXP(-LN(2)/2)*AW171+(1-EXP(-LN(2)/2))/(LN(2)/2)*AQ172*AT172*VLOOKUP('Données projet'!$B$10,Paramètres!$A$1:$I$89,3,0)*0.475*44/12</f>
        <v>2.5089854895131694E-12</v>
      </c>
      <c r="AX172" s="21">
        <f t="shared" si="166"/>
        <v>13.271884695800622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4.4337866711430253E-14</v>
      </c>
      <c r="BF172" s="13">
        <f t="shared" si="167"/>
        <v>7.3222115536967035E-13</v>
      </c>
      <c r="BG172" s="20">
        <f t="shared" si="168"/>
        <v>1.3525069634579169E-12</v>
      </c>
      <c r="BH172" s="59">
        <f t="shared" si="116"/>
        <v>288.57137590097778</v>
      </c>
      <c r="BI172" s="59">
        <f ca="1">AVERAGE(OFFSET($BH$3,0,0,'Données projet'!$E$11+1,1))-AVERAGE(OFFSET($H$3,0,0,'Données projet'!$E$11+1,1))</f>
        <v>308.85018589589453</v>
      </c>
      <c r="BJ172" s="59">
        <f t="shared" si="146"/>
        <v>302.59481222418219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5.9342851751843044</v>
      </c>
      <c r="BQ172" s="21">
        <f>EXP(-LN(2)/25)*BQ171+(1-EXP(-LN(2)/25))/(LN(2)/25)*Calculateur!BL172*Calculateur!BN172*VLOOKUP('Données projet'!$B$11,Paramètres!$A$1:$I$89,3,0)*0.475*44/12</f>
        <v>2.6459488700037261</v>
      </c>
      <c r="BR172" s="21">
        <f>EXP(-LN(2)/2)*BR171+(1-EXP(-LN(2)/2))/(LN(2)/2)*BL172*BO172*VLOOKUP('Données projet'!$B$11,Paramètres!$A$1:$I$89,3,0)*0.475*44/12</f>
        <v>5.3962187299279914E-14</v>
      </c>
      <c r="BS172" s="22">
        <f t="shared" si="169"/>
        <v>8.5802340451880834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3.3333333333333335</v>
      </c>
      <c r="CT172" s="12">
        <f>IF('Données projet'!$A$140&gt;35,CT171+CS172-DB171,IF(A172&lt;'Données projet'!$A$140,$CQ$205^A172,IF(A172='Données projet'!$A$140,'Données projet'!$B$140,CT171+CS172-DB171)))</f>
        <v>185.92156862745085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288.65398521629464</v>
      </c>
      <c r="S173" s="59">
        <f ca="1">AVERAGE(OFFSET($R$3,0,0,'Données projet'!$E$9+1,1))-AVERAGE(OFFSET($H$3,0,0,'Données projet'!$E$9+1,1))</f>
        <v>737.40414421611001</v>
      </c>
      <c r="T173" s="59">
        <f t="shared" si="142"/>
        <v>245.32893490531674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377.28055430105911</v>
      </c>
      <c r="AO173" s="59">
        <f t="shared" si="144"/>
        <v>364.58250627635425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8.745337798082387</v>
      </c>
      <c r="AV173" s="21">
        <f>EXP(-LN(2)/25)*AV172+(1-EXP(-LN(2)/25))/(LN(2)/25)*Calculateur!AQ173*Calculateur!AS173*VLOOKUP('Données projet'!$B$10,Paramètres!$A$1:$I$89,3,0)*0.475*44/12</f>
        <v>4.2326306231827164</v>
      </c>
      <c r="AW173" s="21">
        <f>EXP(-LN(2)/2)*AW172+(1-EXP(-LN(2)/2))/(LN(2)/2)*AQ173*AT173*VLOOKUP('Données projet'!$B$10,Paramètres!$A$1:$I$89,3,0)*0.475*44/12</f>
        <v>1.7741206535334115E-12</v>
      </c>
      <c r="AX173" s="21">
        <f t="shared" si="166"/>
        <v>12.977968421266878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4.4337866711430253E-14</v>
      </c>
      <c r="BF173" s="13">
        <f t="shared" si="167"/>
        <v>7.3222115536967035E-13</v>
      </c>
      <c r="BG173" s="20">
        <f t="shared" si="168"/>
        <v>1.3525069634579169E-12</v>
      </c>
      <c r="BH173" s="59">
        <f t="shared" si="116"/>
        <v>288.65398521628725</v>
      </c>
      <c r="BI173" s="59">
        <f ca="1">AVERAGE(OFFSET($BH$3,0,0,'Données projet'!$E$11+1,1))-AVERAGE(OFFSET($H$3,0,0,'Données projet'!$E$11+1,1))</f>
        <v>308.85018589589453</v>
      </c>
      <c r="BJ173" s="59">
        <f t="shared" si="146"/>
        <v>302.59481222418219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5.8179174624554957</v>
      </c>
      <c r="BQ173" s="21">
        <f>EXP(-LN(2)/25)*BQ172+(1-EXP(-LN(2)/25))/(LN(2)/25)*Calculateur!BL173*Calculateur!BN173*VLOOKUP('Données projet'!$B$11,Paramètres!$A$1:$I$89,3,0)*0.475*44/12</f>
        <v>2.5735952590090707</v>
      </c>
      <c r="BR173" s="21">
        <f>EXP(-LN(2)/2)*BR172+(1-EXP(-LN(2)/2))/(LN(2)/2)*BL173*BO173*VLOOKUP('Données projet'!$B$11,Paramètres!$A$1:$I$89,3,0)*0.475*44/12</f>
        <v>3.8157028566979415E-14</v>
      </c>
      <c r="BS173" s="22">
        <f t="shared" si="169"/>
        <v>8.3915127214646041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3.3333333333333335</v>
      </c>
      <c r="CT173" s="12">
        <f>IF('Données projet'!$A$140&gt;35,CT172+CS173-DB172,IF(A173&lt;'Données projet'!$A$140,$CQ$205^A173,IF(A173='Données projet'!$A$140,'Données projet'!$B$140,CT172+CS173-DB172)))</f>
        <v>189.2549019607842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288.73516144467027</v>
      </c>
      <c r="S174" s="59">
        <f ca="1">AVERAGE(OFFSET($R$3,0,0,'Données projet'!$E$9+1,1))-AVERAGE(OFFSET($H$3,0,0,'Données projet'!$E$9+1,1))</f>
        <v>737.40414421611001</v>
      </c>
      <c r="T174" s="59">
        <f t="shared" si="142"/>
        <v>245.32893490531674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377.28055430105911</v>
      </c>
      <c r="AO174" s="59">
        <f t="shared" si="144"/>
        <v>364.58250627635425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8.5738470579913475</v>
      </c>
      <c r="AV174" s="21">
        <f>EXP(-LN(2)/25)*AV173+(1-EXP(-LN(2)/25))/(LN(2)/25)*Calculateur!AQ174*Calculateur!AS174*VLOOKUP('Données projet'!$B$10,Paramètres!$A$1:$I$89,3,0)*0.475*44/12</f>
        <v>4.1168891162074148</v>
      </c>
      <c r="AW174" s="21">
        <f>EXP(-LN(2)/2)*AW173+(1-EXP(-LN(2)/2))/(LN(2)/2)*AQ174*AT174*VLOOKUP('Données projet'!$B$10,Paramètres!$A$1:$I$89,3,0)*0.475*44/12</f>
        <v>1.2544927447565847E-12</v>
      </c>
      <c r="AX174" s="21">
        <f t="shared" si="166"/>
        <v>12.690736174200016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4.4337866711430253E-14</v>
      </c>
      <c r="BF174" s="13">
        <f t="shared" si="167"/>
        <v>7.3222115536967035E-13</v>
      </c>
      <c r="BG174" s="20">
        <f t="shared" si="168"/>
        <v>1.3525069634579169E-12</v>
      </c>
      <c r="BH174" s="59">
        <f t="shared" si="116"/>
        <v>288.73516144466288</v>
      </c>
      <c r="BI174" s="59">
        <f ca="1">AVERAGE(OFFSET($BH$3,0,0,'Données projet'!$E$11+1,1))-AVERAGE(OFFSET($H$3,0,0,'Données projet'!$E$11+1,1))</f>
        <v>308.85018589589453</v>
      </c>
      <c r="BJ174" s="59">
        <f t="shared" si="146"/>
        <v>302.59481222418219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5.703831649596002</v>
      </c>
      <c r="BQ174" s="21">
        <f>EXP(-LN(2)/25)*BQ173+(1-EXP(-LN(2)/25))/(LN(2)/25)*Calculateur!BL174*Calculateur!BN174*VLOOKUP('Données projet'!$B$11,Paramètres!$A$1:$I$89,3,0)*0.475*44/12</f>
        <v>2.5032201613119751</v>
      </c>
      <c r="BR174" s="21">
        <f>EXP(-LN(2)/2)*BR173+(1-EXP(-LN(2)/2))/(LN(2)/2)*BL174*BO174*VLOOKUP('Données projet'!$B$11,Paramètres!$A$1:$I$89,3,0)*0.475*44/12</f>
        <v>2.6981093649639957E-14</v>
      </c>
      <c r="BS174" s="22">
        <f t="shared" si="169"/>
        <v>8.2070518109080037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3.3333333333333335</v>
      </c>
      <c r="CT174" s="12">
        <f>IF('Données projet'!$A$140&gt;35,CT173+CS174-DB173,IF(A174&lt;'Données projet'!$A$140,$CQ$205^A174,IF(A174='Données projet'!$A$140,'Données projet'!$B$140,CT173+CS174-DB173)))</f>
        <v>192.58823529411754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288.8149294469664</v>
      </c>
      <c r="S175" s="59">
        <f ca="1">AVERAGE(OFFSET($R$3,0,0,'Données projet'!$E$9+1,1))-AVERAGE(OFFSET($H$3,0,0,'Données projet'!$E$9+1,1))</f>
        <v>737.40414421611001</v>
      </c>
      <c r="T175" s="59">
        <f t="shared" si="142"/>
        <v>245.32893490531674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377.28055430105911</v>
      </c>
      <c r="AO175" s="59">
        <f t="shared" si="144"/>
        <v>364.58250627635425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8.4057191467144694</v>
      </c>
      <c r="AV175" s="21">
        <f>EXP(-LN(2)/25)*AV174+(1-EXP(-LN(2)/25))/(LN(2)/25)*Calculateur!AQ175*Calculateur!AS175*VLOOKUP('Données projet'!$B$10,Paramètres!$A$1:$I$89,3,0)*0.475*44/12</f>
        <v>4.0043125668269335</v>
      </c>
      <c r="AW175" s="21">
        <f>EXP(-LN(2)/2)*AW174+(1-EXP(-LN(2)/2))/(LN(2)/2)*AQ175*AT175*VLOOKUP('Données projet'!$B$10,Paramètres!$A$1:$I$89,3,0)*0.475*44/12</f>
        <v>8.8706032676670577E-13</v>
      </c>
      <c r="AX175" s="21">
        <f t="shared" si="166"/>
        <v>12.41003171354229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4.4337866711430253E-14</v>
      </c>
      <c r="BF175" s="13">
        <f t="shared" si="167"/>
        <v>7.3222115536967035E-13</v>
      </c>
      <c r="BG175" s="20">
        <f t="shared" si="168"/>
        <v>1.3525069634579169E-12</v>
      </c>
      <c r="BH175" s="59">
        <f t="shared" si="116"/>
        <v>288.81492944695901</v>
      </c>
      <c r="BI175" s="59">
        <f ca="1">AVERAGE(OFFSET($BH$3,0,0,'Données projet'!$E$11+1,1))-AVERAGE(OFFSET($H$3,0,0,'Données projet'!$E$11+1,1))</f>
        <v>308.85018589589453</v>
      </c>
      <c r="BJ175" s="59">
        <f t="shared" si="146"/>
        <v>302.59481222418219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5.5919829899412088</v>
      </c>
      <c r="BQ175" s="21">
        <f>EXP(-LN(2)/25)*BQ174+(1-EXP(-LN(2)/25))/(LN(2)/25)*Calculateur!BL175*Calculateur!BN175*VLOOKUP('Données projet'!$B$11,Paramètres!$A$1:$I$89,3,0)*0.475*44/12</f>
        <v>2.4347694743622719</v>
      </c>
      <c r="BR175" s="21">
        <f>EXP(-LN(2)/2)*BR174+(1-EXP(-LN(2)/2))/(LN(2)/2)*BL175*BO175*VLOOKUP('Données projet'!$B$11,Paramètres!$A$1:$I$89,3,0)*0.475*44/12</f>
        <v>1.9078514283489708E-14</v>
      </c>
      <c r="BS175" s="22">
        <f t="shared" si="169"/>
        <v>8.0267524643035006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3.3333333333333335</v>
      </c>
      <c r="CT175" s="12">
        <f>IF('Données projet'!$A$140&gt;35,CT174+CS175-DB174,IF(A175&lt;'Données projet'!$A$140,$CQ$205^A175,IF(A175='Données projet'!$A$140,'Données projet'!$B$140,CT174+CS175-DB174)))</f>
        <v>195.92156862745088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288.89331365275723</v>
      </c>
      <c r="S176" s="59">
        <f ca="1">AVERAGE(OFFSET($R$3,0,0,'Données projet'!$E$9+1,1))-AVERAGE(OFFSET($H$3,0,0,'Données projet'!$E$9+1,1))</f>
        <v>737.40414421611001</v>
      </c>
      <c r="T176" s="59">
        <f t="shared" si="142"/>
        <v>245.32893490531674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377.28055430105911</v>
      </c>
      <c r="AO176" s="59">
        <f t="shared" si="144"/>
        <v>364.58250627635425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8.2408881212298315</v>
      </c>
      <c r="AV176" s="21">
        <f>EXP(-LN(2)/25)*AV175+(1-EXP(-LN(2)/25))/(LN(2)/25)*Calculateur!AQ176*Calculateur!AS176*VLOOKUP('Données projet'!$B$10,Paramètres!$A$1:$I$89,3,0)*0.475*44/12</f>
        <v>3.8948144291094051</v>
      </c>
      <c r="AW176" s="21">
        <f>EXP(-LN(2)/2)*AW175+(1-EXP(-LN(2)/2))/(LN(2)/2)*AQ176*AT176*VLOOKUP('Données projet'!$B$10,Paramètres!$A$1:$I$89,3,0)*0.475*44/12</f>
        <v>6.2724637237829235E-13</v>
      </c>
      <c r="AX176" s="21">
        <f t="shared" si="166"/>
        <v>12.135702550339863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4.4337866711430253E-14</v>
      </c>
      <c r="BF176" s="13">
        <f t="shared" si="167"/>
        <v>7.3222115536967035E-13</v>
      </c>
      <c r="BG176" s="20">
        <f t="shared" si="168"/>
        <v>1.3525069634579169E-12</v>
      </c>
      <c r="BH176" s="59">
        <f t="shared" si="116"/>
        <v>288.89331365274984</v>
      </c>
      <c r="BI176" s="59">
        <f ca="1">AVERAGE(OFFSET($BH$3,0,0,'Données projet'!$E$11+1,1))-AVERAGE(OFFSET($H$3,0,0,'Données projet'!$E$11+1,1))</f>
        <v>308.85018589589453</v>
      </c>
      <c r="BJ176" s="59">
        <f t="shared" si="146"/>
        <v>302.59481222418219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5.4823276142812993</v>
      </c>
      <c r="BQ176" s="21">
        <f>EXP(-LN(2)/25)*BQ175+(1-EXP(-LN(2)/25))/(LN(2)/25)*Calculateur!BL176*Calculateur!BN176*VLOOKUP('Données projet'!$B$11,Paramètres!$A$1:$I$89,3,0)*0.475*44/12</f>
        <v>2.3681905750468735</v>
      </c>
      <c r="BR176" s="21">
        <f>EXP(-LN(2)/2)*BR175+(1-EXP(-LN(2)/2))/(LN(2)/2)*BL176*BO176*VLOOKUP('Données projet'!$B$11,Paramètres!$A$1:$I$89,3,0)*0.475*44/12</f>
        <v>1.3490546824819978E-14</v>
      </c>
      <c r="BS176" s="22">
        <f t="shared" si="169"/>
        <v>7.8505181893281861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3.3333333333333335</v>
      </c>
      <c r="CT176" s="12">
        <f>IF('Données projet'!$A$140&gt;35,CT175+CS176-DB175,IF(A176&lt;'Données projet'!$A$140,$CQ$205^A176,IF(A176='Données projet'!$A$140,'Données projet'!$B$140,CT175+CS176-DB175)))</f>
        <v>199.25490196078422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288.97033806781849</v>
      </c>
      <c r="S177" s="59">
        <f ca="1">AVERAGE(OFFSET($R$3,0,0,'Données projet'!$E$9+1,1))-AVERAGE(OFFSET($H$3,0,0,'Données projet'!$E$9+1,1))</f>
        <v>737.40414421611001</v>
      </c>
      <c r="T177" s="59">
        <f t="shared" si="142"/>
        <v>245.32893490531674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377.28055430105911</v>
      </c>
      <c r="AO177" s="59">
        <f t="shared" si="144"/>
        <v>364.58250627635425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8.0792893316179484</v>
      </c>
      <c r="AV177" s="21">
        <f>EXP(-LN(2)/25)*AV176+(1-EXP(-LN(2)/25))/(LN(2)/25)*Calculateur!AQ177*Calculateur!AS177*VLOOKUP('Données projet'!$B$10,Paramètres!$A$1:$I$89,3,0)*0.475*44/12</f>
        <v>3.7883105237260195</v>
      </c>
      <c r="AW177" s="21">
        <f>EXP(-LN(2)/2)*AW176+(1-EXP(-LN(2)/2))/(LN(2)/2)*AQ177*AT177*VLOOKUP('Données projet'!$B$10,Paramètres!$A$1:$I$89,3,0)*0.475*44/12</f>
        <v>4.4353016338335288E-13</v>
      </c>
      <c r="AX177" s="21">
        <f t="shared" si="166"/>
        <v>11.867599855344412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4.4337866711430253E-14</v>
      </c>
      <c r="BF177" s="13">
        <f t="shared" si="167"/>
        <v>7.3222115536967035E-13</v>
      </c>
      <c r="BG177" s="20">
        <f t="shared" si="168"/>
        <v>1.3525069634579169E-12</v>
      </c>
      <c r="BH177" s="59">
        <f t="shared" si="116"/>
        <v>288.9703380678111</v>
      </c>
      <c r="BI177" s="59">
        <f ca="1">AVERAGE(OFFSET($BH$3,0,0,'Données projet'!$E$11+1,1))-AVERAGE(OFFSET($H$3,0,0,'Données projet'!$E$11+1,1))</f>
        <v>308.85018589589453</v>
      </c>
      <c r="BJ177" s="59">
        <f t="shared" si="146"/>
        <v>302.59481222418219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5.3748225136549062</v>
      </c>
      <c r="BQ177" s="21">
        <f>EXP(-LN(2)/25)*BQ176+(1-EXP(-LN(2)/25))/(LN(2)/25)*Calculateur!BL177*Calculateur!BN177*VLOOKUP('Données projet'!$B$11,Paramètres!$A$1:$I$89,3,0)*0.475*44/12</f>
        <v>2.303432279234487</v>
      </c>
      <c r="BR177" s="21">
        <f>EXP(-LN(2)/2)*BR176+(1-EXP(-LN(2)/2))/(LN(2)/2)*BL177*BO177*VLOOKUP('Données projet'!$B$11,Paramètres!$A$1:$I$89,3,0)*0.475*44/12</f>
        <v>9.5392571417448539E-15</v>
      </c>
      <c r="BS177" s="22">
        <f t="shared" si="169"/>
        <v>7.6782547928894029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3.3333333333333335</v>
      </c>
      <c r="CT177" s="12">
        <f>IF('Données projet'!$A$140&gt;35,CT176+CS177-DB176,IF(A177&lt;'Données projet'!$A$140,$CQ$205^A177,IF(A177='Données projet'!$A$140,'Données projet'!$B$140,CT176+CS177-DB176)))</f>
        <v>202.58823529411757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289.04602628147916</v>
      </c>
      <c r="S178" s="59">
        <f ca="1">AVERAGE(OFFSET($R$3,0,0,'Données projet'!$E$9+1,1))-AVERAGE(OFFSET($H$3,0,0,'Données projet'!$E$9+1,1))</f>
        <v>737.40414421611001</v>
      </c>
      <c r="T178" s="59">
        <f t="shared" si="142"/>
        <v>245.32893490531674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377.28055430105911</v>
      </c>
      <c r="AO178" s="59">
        <f t="shared" si="144"/>
        <v>364.58250627635425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7.9208593957048246</v>
      </c>
      <c r="AV178" s="21">
        <f>EXP(-LN(2)/25)*AV177+(1-EXP(-LN(2)/25))/(LN(2)/25)*Calculateur!AQ178*Calculateur!AS178*VLOOKUP('Données projet'!$B$10,Paramètres!$A$1:$I$89,3,0)*0.475*44/12</f>
        <v>3.6847189732361394</v>
      </c>
      <c r="AW178" s="21">
        <f>EXP(-LN(2)/2)*AW177+(1-EXP(-LN(2)/2))/(LN(2)/2)*AQ178*AT178*VLOOKUP('Données projet'!$B$10,Paramètres!$A$1:$I$89,3,0)*0.475*44/12</f>
        <v>3.1362318618914618E-13</v>
      </c>
      <c r="AX178" s="21">
        <f t="shared" si="166"/>
        <v>11.605578368941279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4.4337866711430253E-14</v>
      </c>
      <c r="BF178" s="13">
        <f t="shared" si="167"/>
        <v>7.3222115536967035E-13</v>
      </c>
      <c r="BG178" s="20">
        <f t="shared" si="168"/>
        <v>1.3525069634579169E-12</v>
      </c>
      <c r="BH178" s="59">
        <f t="shared" si="116"/>
        <v>289.04602628147177</v>
      </c>
      <c r="BI178" s="59">
        <f ca="1">AVERAGE(OFFSET($BH$3,0,0,'Données projet'!$E$11+1,1))-AVERAGE(OFFSET($H$3,0,0,'Données projet'!$E$11+1,1))</f>
        <v>308.85018589589453</v>
      </c>
      <c r="BJ178" s="59">
        <f t="shared" si="146"/>
        <v>302.59481222418219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5.2694255224801596</v>
      </c>
      <c r="BQ178" s="21">
        <f>EXP(-LN(2)/25)*BQ177+(1-EXP(-LN(2)/25))/(LN(2)/25)*Calculateur!BL178*Calculateur!BN178*VLOOKUP('Données projet'!$B$11,Paramètres!$A$1:$I$89,3,0)*0.475*44/12</f>
        <v>2.2404448024265808</v>
      </c>
      <c r="BR178" s="21">
        <f>EXP(-LN(2)/2)*BR177+(1-EXP(-LN(2)/2))/(LN(2)/2)*BL178*BO178*VLOOKUP('Données projet'!$B$11,Paramètres!$A$1:$I$89,3,0)*0.475*44/12</f>
        <v>6.7452734124099892E-15</v>
      </c>
      <c r="BS178" s="22">
        <f t="shared" si="169"/>
        <v>7.509870324906748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3.3333333333333335</v>
      </c>
      <c r="CT178" s="12">
        <f>IF('Données projet'!$A$140&gt;35,CT177+CS178-DB177,IF(A178&lt;'Données projet'!$A$140,$CQ$205^A178,IF(A178='Données projet'!$A$140,'Données projet'!$B$140,CT177+CS178-DB177)))</f>
        <v>205.92156862745091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289.12040147384636</v>
      </c>
      <c r="S179" s="59">
        <f ca="1">AVERAGE(OFFSET($R$3,0,0,'Données projet'!$E$9+1,1))-AVERAGE(OFFSET($H$3,0,0,'Données projet'!$E$9+1,1))</f>
        <v>737.40414421611001</v>
      </c>
      <c r="T179" s="59">
        <f t="shared" si="142"/>
        <v>245.32893490531674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377.28055430105911</v>
      </c>
      <c r="AO179" s="59">
        <f t="shared" si="144"/>
        <v>364.58250627635425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7.7655361742022384</v>
      </c>
      <c r="AV179" s="21">
        <f>EXP(-LN(2)/25)*AV178+(1-EXP(-LN(2)/25))/(LN(2)/25)*Calculateur!AQ179*Calculateur!AS179*VLOOKUP('Données projet'!$B$10,Paramètres!$A$1:$I$89,3,0)*0.475*44/12</f>
        <v>3.5839601391420479</v>
      </c>
      <c r="AW179" s="21">
        <f>EXP(-LN(2)/2)*AW178+(1-EXP(-LN(2)/2))/(LN(2)/2)*AQ179*AT179*VLOOKUP('Données projet'!$B$10,Paramètres!$A$1:$I$89,3,0)*0.475*44/12</f>
        <v>2.2176508169167644E-13</v>
      </c>
      <c r="AX179" s="21">
        <f t="shared" si="166"/>
        <v>11.349496313344508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4.4337866711430253E-14</v>
      </c>
      <c r="BF179" s="13">
        <f t="shared" si="167"/>
        <v>7.3222115536967035E-13</v>
      </c>
      <c r="BG179" s="20">
        <f t="shared" si="168"/>
        <v>1.3525069634579169E-12</v>
      </c>
      <c r="BH179" s="59">
        <f t="shared" si="116"/>
        <v>289.12040147383897</v>
      </c>
      <c r="BI179" s="59">
        <f ca="1">AVERAGE(OFFSET($BH$3,0,0,'Données projet'!$E$11+1,1))-AVERAGE(OFFSET($H$3,0,0,'Données projet'!$E$11+1,1))</f>
        <v>308.85018589589453</v>
      </c>
      <c r="BJ179" s="59">
        <f t="shared" si="146"/>
        <v>302.59481222418219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5.166095302016533</v>
      </c>
      <c r="BQ179" s="21">
        <f>EXP(-LN(2)/25)*BQ178+(1-EXP(-LN(2)/25))/(LN(2)/25)*Calculateur!BL179*Calculateur!BN179*VLOOKUP('Données projet'!$B$11,Paramètres!$A$1:$I$89,3,0)*0.475*44/12</f>
        <v>2.1791797214843545</v>
      </c>
      <c r="BR179" s="21">
        <f>EXP(-LN(2)/2)*BR178+(1-EXP(-LN(2)/2))/(LN(2)/2)*BL179*BO179*VLOOKUP('Données projet'!$B$11,Paramètres!$A$1:$I$89,3,0)*0.475*44/12</f>
        <v>4.7696285708724269E-15</v>
      </c>
      <c r="BS179" s="22">
        <f t="shared" si="169"/>
        <v>7.3452750235008919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3.3333333333333335</v>
      </c>
      <c r="CT179" s="12">
        <f>IF('Données projet'!$A$140&gt;35,CT178+CS179-DB178,IF(A179&lt;'Données projet'!$A$140,$CQ$205^A179,IF(A179='Données projet'!$A$140,'Données projet'!$B$140,CT178+CS179-DB178)))</f>
        <v>209.25490196078425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289.19348642290402</v>
      </c>
      <c r="S180" s="59">
        <f ca="1">AVERAGE(OFFSET($R$3,0,0,'Données projet'!$E$9+1,1))-AVERAGE(OFFSET($H$3,0,0,'Données projet'!$E$9+1,1))</f>
        <v>737.40414421611001</v>
      </c>
      <c r="T180" s="59">
        <f t="shared" si="142"/>
        <v>245.32893490531674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377.28055430105911</v>
      </c>
      <c r="AO180" s="59">
        <f t="shared" si="144"/>
        <v>364.58250627635425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7.6132587463355073</v>
      </c>
      <c r="AV180" s="21">
        <f>EXP(-LN(2)/25)*AV179+(1-EXP(-LN(2)/25))/(LN(2)/25)*Calculateur!AQ180*Calculateur!AS180*VLOOKUP('Données projet'!$B$10,Paramètres!$A$1:$I$89,3,0)*0.475*44/12</f>
        <v>3.4859565606649361</v>
      </c>
      <c r="AW180" s="21">
        <f>EXP(-LN(2)/2)*AW179+(1-EXP(-LN(2)/2))/(LN(2)/2)*AQ180*AT180*VLOOKUP('Données projet'!$B$10,Paramètres!$A$1:$I$89,3,0)*0.475*44/12</f>
        <v>1.5681159309457309E-13</v>
      </c>
      <c r="AX180" s="21">
        <f t="shared" si="166"/>
        <v>11.0992153070006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4.4337866711430253E-14</v>
      </c>
      <c r="BF180" s="13">
        <f t="shared" si="167"/>
        <v>7.3222115536967035E-13</v>
      </c>
      <c r="BG180" s="20">
        <f t="shared" si="168"/>
        <v>1.3525069634579169E-12</v>
      </c>
      <c r="BH180" s="59">
        <f t="shared" si="116"/>
        <v>289.19348642289663</v>
      </c>
      <c r="BI180" s="59">
        <f ca="1">AVERAGE(OFFSET($BH$3,0,0,'Données projet'!$E$11+1,1))-AVERAGE(OFFSET($H$3,0,0,'Données projet'!$E$11+1,1))</f>
        <v>308.85018589589453</v>
      </c>
      <c r="BJ180" s="59">
        <f t="shared" si="146"/>
        <v>302.59481222418219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5.0647913241509865</v>
      </c>
      <c r="BQ180" s="21">
        <f>EXP(-LN(2)/25)*BQ179+(1-EXP(-LN(2)/25))/(LN(2)/25)*Calculateur!BL180*Calculateur!BN180*VLOOKUP('Données projet'!$B$11,Paramètres!$A$1:$I$89,3,0)*0.475*44/12</f>
        <v>2.1195899374022837</v>
      </c>
      <c r="BR180" s="21">
        <f>EXP(-LN(2)/2)*BR179+(1-EXP(-LN(2)/2))/(LN(2)/2)*BL180*BO180*VLOOKUP('Données projet'!$B$11,Paramètres!$A$1:$I$89,3,0)*0.475*44/12</f>
        <v>3.3726367062049946E-15</v>
      </c>
      <c r="BS180" s="22">
        <f t="shared" si="169"/>
        <v>7.1843812615532734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3.3333333333333335</v>
      </c>
      <c r="CT180" s="12">
        <f>IF('Données projet'!$A$140&gt;35,CT179+CS180-DB179,IF(A180&lt;'Données projet'!$A$140,$CQ$205^A180,IF(A180='Données projet'!$A$140,'Données projet'!$B$140,CT179+CS180-DB179)))</f>
        <v>212.5882352941176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289.26530351148892</v>
      </c>
      <c r="S181" s="59">
        <f ca="1">AVERAGE(OFFSET($R$3,0,0,'Données projet'!$E$9+1,1))-AVERAGE(OFFSET($H$3,0,0,'Données projet'!$E$9+1,1))</f>
        <v>737.40414421611001</v>
      </c>
      <c r="T181" s="59">
        <f t="shared" si="142"/>
        <v>245.32893490531674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377.28055430105911</v>
      </c>
      <c r="AO181" s="59">
        <f t="shared" si="144"/>
        <v>364.58250627635425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7.4639673859491831</v>
      </c>
      <c r="AV181" s="21">
        <f>EXP(-LN(2)/25)*AV180+(1-EXP(-LN(2)/25))/(LN(2)/25)*Calculateur!AQ181*Calculateur!AS181*VLOOKUP('Données projet'!$B$10,Paramètres!$A$1:$I$89,3,0)*0.475*44/12</f>
        <v>3.3906328951950653</v>
      </c>
      <c r="AW181" s="21">
        <f>EXP(-LN(2)/2)*AW180+(1-EXP(-LN(2)/2))/(LN(2)/2)*AQ181*AT181*VLOOKUP('Données projet'!$B$10,Paramètres!$A$1:$I$89,3,0)*0.475*44/12</f>
        <v>1.1088254084583822E-13</v>
      </c>
      <c r="AX181" s="21">
        <f t="shared" si="166"/>
        <v>10.854600281144359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4.4337866711430253E-14</v>
      </c>
      <c r="BF181" s="13">
        <f t="shared" si="167"/>
        <v>7.3222115536967035E-13</v>
      </c>
      <c r="BG181" s="20">
        <f t="shared" si="168"/>
        <v>1.3525069634579169E-12</v>
      </c>
      <c r="BH181" s="59">
        <f t="shared" si="116"/>
        <v>289.26530351148153</v>
      </c>
      <c r="BI181" s="59">
        <f ca="1">AVERAGE(OFFSET($BH$3,0,0,'Données projet'!$E$11+1,1))-AVERAGE(OFFSET($H$3,0,0,'Données projet'!$E$11+1,1))</f>
        <v>308.85018589589453</v>
      </c>
      <c r="BJ181" s="59">
        <f t="shared" si="146"/>
        <v>302.59481222418219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4.9654738555020588</v>
      </c>
      <c r="BQ181" s="21">
        <f>EXP(-LN(2)/25)*BQ180+(1-EXP(-LN(2)/25))/(LN(2)/25)*Calculateur!BL181*Calculateur!BN181*VLOOKUP('Données projet'!$B$11,Paramètres!$A$1:$I$89,3,0)*0.475*44/12</f>
        <v>2.0616296390996278</v>
      </c>
      <c r="BR181" s="21">
        <f>EXP(-LN(2)/2)*BR180+(1-EXP(-LN(2)/2))/(LN(2)/2)*BL181*BO181*VLOOKUP('Données projet'!$B$11,Paramètres!$A$1:$I$89,3,0)*0.475*44/12</f>
        <v>2.3848142854362135E-15</v>
      </c>
      <c r="BS181" s="22">
        <f t="shared" si="169"/>
        <v>7.0271034946016888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3.3333333333333335</v>
      </c>
      <c r="CT181" s="12">
        <f>IF('Données projet'!$A$140&gt;35,CT180+CS181-DB180,IF(A181&lt;'Données projet'!$A$140,$CQ$205^A181,IF(A181='Données projet'!$A$140,'Données projet'!$B$140,CT180+CS181-DB180)))</f>
        <v>215.92156862745094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289.33587473414588</v>
      </c>
      <c r="S182" s="59">
        <f ca="1">AVERAGE(OFFSET($R$3,0,0,'Données projet'!$E$9+1,1))-AVERAGE(OFFSET($H$3,0,0,'Données projet'!$E$9+1,1))</f>
        <v>737.40414421611001</v>
      </c>
      <c r="T182" s="59">
        <f t="shared" si="142"/>
        <v>245.32893490531674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377.28055430105911</v>
      </c>
      <c r="AO182" s="59">
        <f t="shared" si="144"/>
        <v>364.58250627635425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7.317603538081296</v>
      </c>
      <c r="AV182" s="21">
        <f>EXP(-LN(2)/25)*AV181+(1-EXP(-LN(2)/25))/(LN(2)/25)*Calculateur!AQ182*Calculateur!AS182*VLOOKUP('Données projet'!$B$10,Paramètres!$A$1:$I$89,3,0)*0.475*44/12</f>
        <v>3.2979158603703218</v>
      </c>
      <c r="AW182" s="21">
        <f>EXP(-LN(2)/2)*AW181+(1-EXP(-LN(2)/2))/(LN(2)/2)*AQ182*AT182*VLOOKUP('Données projet'!$B$10,Paramètres!$A$1:$I$89,3,0)*0.475*44/12</f>
        <v>7.8405796547286544E-14</v>
      </c>
      <c r="AX182" s="21">
        <f t="shared" si="166"/>
        <v>10.615519398451696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4.4337866711430253E-14</v>
      </c>
      <c r="BF182" s="13">
        <f t="shared" si="167"/>
        <v>7.3222115536967035E-13</v>
      </c>
      <c r="BG182" s="20">
        <f t="shared" si="168"/>
        <v>1.3525069634579169E-12</v>
      </c>
      <c r="BH182" s="59">
        <f t="shared" si="116"/>
        <v>289.33587473413849</v>
      </c>
      <c r="BI182" s="59">
        <f ca="1">AVERAGE(OFFSET($BH$3,0,0,'Données projet'!$E$11+1,1))-AVERAGE(OFFSET($H$3,0,0,'Données projet'!$E$11+1,1))</f>
        <v>308.85018589589453</v>
      </c>
      <c r="BJ182" s="59">
        <f t="shared" si="146"/>
        <v>302.59481222418219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4.8681039418356615</v>
      </c>
      <c r="BQ182" s="21">
        <f>EXP(-LN(2)/25)*BQ181+(1-EXP(-LN(2)/25))/(LN(2)/25)*Calculateur!BL182*Calculateur!BN182*VLOOKUP('Données projet'!$B$11,Paramètres!$A$1:$I$89,3,0)*0.475*44/12</f>
        <v>2.0052542682020578</v>
      </c>
      <c r="BR182" s="21">
        <f>EXP(-LN(2)/2)*BR181+(1-EXP(-LN(2)/2))/(LN(2)/2)*BL182*BO182*VLOOKUP('Données projet'!$B$11,Paramètres!$A$1:$I$89,3,0)*0.475*44/12</f>
        <v>1.6863183531024973E-15</v>
      </c>
      <c r="BS182" s="22">
        <f t="shared" si="169"/>
        <v>6.8733582100377211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3.3333333333333335</v>
      </c>
      <c r="CT182" s="12">
        <f>IF('Données projet'!$A$140&gt;35,CT181+CS182-DB181,IF(A182&lt;'Données projet'!$A$140,$CQ$205^A182,IF(A182='Données projet'!$A$140,'Données projet'!$B$140,CT181+CS182-DB181)))</f>
        <v>219.25490196078428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289.40522170386339</v>
      </c>
      <c r="S183" s="59">
        <f ca="1">AVERAGE(OFFSET($R$3,0,0,'Données projet'!$E$9+1,1))-AVERAGE(OFFSET($H$3,0,0,'Données projet'!$E$9+1,1))</f>
        <v>737.40414421611001</v>
      </c>
      <c r="T183" s="59">
        <f t="shared" si="142"/>
        <v>245.32893490531674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377.28055430105911</v>
      </c>
      <c r="AO183" s="59">
        <f t="shared" si="144"/>
        <v>364.58250627635425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7.1741097959969657</v>
      </c>
      <c r="AV183" s="21">
        <f>EXP(-LN(2)/25)*AV182+(1-EXP(-LN(2)/25))/(LN(2)/25)*Calculateur!AQ183*Calculateur!AS183*VLOOKUP('Données projet'!$B$10,Paramètres!$A$1:$I$89,3,0)*0.475*44/12</f>
        <v>3.2077341777386379</v>
      </c>
      <c r="AW183" s="21">
        <f>EXP(-LN(2)/2)*AW182+(1-EXP(-LN(2)/2))/(LN(2)/2)*AQ183*AT183*VLOOKUP('Données projet'!$B$10,Paramètres!$A$1:$I$89,3,0)*0.475*44/12</f>
        <v>5.544127042291911E-14</v>
      </c>
      <c r="AX183" s="21">
        <f t="shared" si="166"/>
        <v>10.381843973735659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4.4337866711430253E-14</v>
      </c>
      <c r="BF183" s="13">
        <f t="shared" si="167"/>
        <v>7.3222115536967035E-13</v>
      </c>
      <c r="BG183" s="20">
        <f t="shared" si="168"/>
        <v>1.3525069634579169E-12</v>
      </c>
      <c r="BH183" s="59">
        <f t="shared" si="116"/>
        <v>289.405221703856</v>
      </c>
      <c r="BI183" s="59">
        <f ca="1">AVERAGE(OFFSET($BH$3,0,0,'Données projet'!$E$11+1,1))-AVERAGE(OFFSET($H$3,0,0,'Données projet'!$E$11+1,1))</f>
        <v>308.85018589589453</v>
      </c>
      <c r="BJ183" s="59">
        <f t="shared" si="146"/>
        <v>302.59481222418219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4.7726433927864793</v>
      </c>
      <c r="BQ183" s="21">
        <f>EXP(-LN(2)/25)*BQ182+(1-EXP(-LN(2)/25))/(LN(2)/25)*Calculateur!BL183*Calculateur!BN183*VLOOKUP('Données projet'!$B$11,Paramètres!$A$1:$I$89,3,0)*0.475*44/12</f>
        <v>1.9504204847863336</v>
      </c>
      <c r="BR183" s="21">
        <f>EXP(-LN(2)/2)*BR182+(1-EXP(-LN(2)/2))/(LN(2)/2)*BL183*BO183*VLOOKUP('Données projet'!$B$11,Paramètres!$A$1:$I$89,3,0)*0.475*44/12</f>
        <v>1.1924071427181067E-15</v>
      </c>
      <c r="BS183" s="22">
        <f t="shared" si="169"/>
        <v>6.7230638775728133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368</v>
      </c>
      <c r="CR183" s="12">
        <f>VLOOKUP(A183,'Données projet'!$A$139:$I$159,9,0)</f>
        <v>3.3333333333333335</v>
      </c>
      <c r="CS183" s="12">
        <f t="array" ref="CS183">INDEX(CR:CR,MIN(IF(ISNUMBER(CR183:CR379),ROW(CR183:CR379),"")))</f>
        <v>3.3333333333333335</v>
      </c>
      <c r="CT183" s="12">
        <f>IF('Données projet'!$A$140&gt;35,CT182+CS183-DB182,IF(A183&lt;'Données projet'!$A$140,$CQ$205^A183,IF(A183='Données projet'!$A$140,'Données projet'!$B$140,CT182+CS183-DB182)))</f>
        <v>222.58823529411762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 t="str">
        <f>IF(ISNA(VLOOKUP(A183,'Données projet'!$A$139:$I$159,3,0)),0,VLOOKUP(A183,'Données projet'!$A$139:$I$159,3,0))</f>
        <v>CR</v>
      </c>
      <c r="DB183" s="15">
        <f>IF(ISNA(VLOOKUP(A183,'Données projet'!$A$139:$I$159,4,0)),0,VLOOKUP(A183,'Données projet'!$A$139:$I$159,4,0))</f>
        <v>368</v>
      </c>
      <c r="DC183" s="16" t="e">
        <f>IF(ISNA(VLOOKUP(A183,'Données projet'!$A$139:$I$159,5,0)),0%,VLOOKUP(A183,'Données projet'!$A$139:$I$159,5,0)*VLOOKUP('Données projet'!$B$13,Paramètres!$A$1:$I$89,7,0))</f>
        <v>#N/A</v>
      </c>
      <c r="DD183" s="16" t="e">
        <f>IF(ISNA(VLOOKUP(A183,'Données projet'!$A$139:$I$159,6,0)),0%,VLOOKUP(A183,'Données projet'!$A$139:$I$159,6,0)*VLOOKUP('Données projet'!$B$13,Paramètres!$A$1:$I$89,7,0))</f>
        <v>#N/A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289.47336565869284</v>
      </c>
      <c r="S184" s="59">
        <f ca="1">AVERAGE(OFFSET($R$3,0,0,'Données projet'!$E$9+1,1))-AVERAGE(OFFSET($H$3,0,0,'Données projet'!$E$9+1,1))</f>
        <v>737.40414421611001</v>
      </c>
      <c r="T184" s="59">
        <f t="shared" si="142"/>
        <v>245.32893490531674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377.28055430105911</v>
      </c>
      <c r="AO184" s="59">
        <f t="shared" si="144"/>
        <v>364.58250627635425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7.0334298786723686</v>
      </c>
      <c r="AV184" s="21">
        <f>EXP(-LN(2)/25)*AV183+(1-EXP(-LN(2)/25))/(LN(2)/25)*Calculateur!AQ184*Calculateur!AS184*VLOOKUP('Données projet'!$B$10,Paramètres!$A$1:$I$89,3,0)*0.475*44/12</f>
        <v>3.1200185179609656</v>
      </c>
      <c r="AW184" s="21">
        <f>EXP(-LN(2)/2)*AW183+(1-EXP(-LN(2)/2))/(LN(2)/2)*AQ184*AT184*VLOOKUP('Données projet'!$B$10,Paramètres!$A$1:$I$89,3,0)*0.475*44/12</f>
        <v>3.9202898273643272E-14</v>
      </c>
      <c r="AX184" s="21">
        <f t="shared" si="166"/>
        <v>10.153448396633372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4.4337866711430253E-14</v>
      </c>
      <c r="BF184" s="13">
        <f t="shared" si="167"/>
        <v>7.3222115536967035E-13</v>
      </c>
      <c r="BG184" s="20">
        <f t="shared" si="168"/>
        <v>1.3525069634579169E-12</v>
      </c>
      <c r="BH184" s="59">
        <f t="shared" si="116"/>
        <v>289.47336565868545</v>
      </c>
      <c r="BI184" s="59">
        <f ca="1">AVERAGE(OFFSET($BH$3,0,0,'Données projet'!$E$11+1,1))-AVERAGE(OFFSET($H$3,0,0,'Données projet'!$E$11+1,1))</f>
        <v>308.85018589589453</v>
      </c>
      <c r="BJ184" s="59">
        <f t="shared" si="146"/>
        <v>302.59481222418219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4.6790547668789664</v>
      </c>
      <c r="BQ184" s="21">
        <f>EXP(-LN(2)/25)*BQ183+(1-EXP(-LN(2)/25))/(LN(2)/25)*Calculateur!BL184*Calculateur!BN184*VLOOKUP('Données projet'!$B$11,Paramètres!$A$1:$I$89,3,0)*0.475*44/12</f>
        <v>1.8970861340616958</v>
      </c>
      <c r="BR184" s="21">
        <f>EXP(-LN(2)/2)*BR183+(1-EXP(-LN(2)/2))/(LN(2)/2)*BL184*BO184*VLOOKUP('Données projet'!$B$11,Paramètres!$A$1:$I$89,3,0)*0.475*44/12</f>
        <v>8.4315917655124865E-16</v>
      </c>
      <c r="BS184" s="22">
        <f t="shared" si="169"/>
        <v>6.5761409009406631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1.5675675675675675</v>
      </c>
      <c r="CT184" s="12">
        <f>IF('Données projet'!$A$140&gt;35,CT183+CS184-DB183,IF(A184&lt;'Données projet'!$A$140,$CQ$205^A184,IF(A184='Données projet'!$A$140,'Données projet'!$B$140,CT183+CS184-DB183)))</f>
        <v>-143.8441971383148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289.54032746825317</v>
      </c>
      <c r="S185" s="59">
        <f ca="1">AVERAGE(OFFSET($R$3,0,0,'Données projet'!$E$9+1,1))-AVERAGE(OFFSET($H$3,0,0,'Données projet'!$E$9+1,1))</f>
        <v>737.40414421611001</v>
      </c>
      <c r="T185" s="59">
        <f t="shared" si="142"/>
        <v>245.32893490531674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377.28055430105911</v>
      </c>
      <c r="AO185" s="59">
        <f t="shared" si="144"/>
        <v>364.58250627635425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6.8955086087202302</v>
      </c>
      <c r="AV185" s="21">
        <f>EXP(-LN(2)/25)*AV184+(1-EXP(-LN(2)/25))/(LN(2)/25)*Calculateur!AQ185*Calculateur!AS185*VLOOKUP('Données projet'!$B$10,Paramètres!$A$1:$I$89,3,0)*0.475*44/12</f>
        <v>3.0347014475126799</v>
      </c>
      <c r="AW185" s="21">
        <f>EXP(-LN(2)/2)*AW184+(1-EXP(-LN(2)/2))/(LN(2)/2)*AQ185*AT185*VLOOKUP('Données projet'!$B$10,Paramètres!$A$1:$I$89,3,0)*0.475*44/12</f>
        <v>2.7720635211459555E-14</v>
      </c>
      <c r="AX185" s="21">
        <f t="shared" si="166"/>
        <v>9.930210056232939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4.4337866711430253E-14</v>
      </c>
      <c r="BF185" s="13">
        <f t="shared" si="167"/>
        <v>7.3222115536967035E-13</v>
      </c>
      <c r="BG185" s="20">
        <f t="shared" si="168"/>
        <v>1.3525069634579169E-12</v>
      </c>
      <c r="BH185" s="59">
        <f t="shared" si="116"/>
        <v>289.54032746824578</v>
      </c>
      <c r="BI185" s="59">
        <f ca="1">AVERAGE(OFFSET($BH$3,0,0,'Données projet'!$E$11+1,1))-AVERAGE(OFFSET($H$3,0,0,'Données projet'!$E$11+1,1))</f>
        <v>308.85018589589453</v>
      </c>
      <c r="BJ185" s="59">
        <f t="shared" si="146"/>
        <v>302.59481222418219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4.5873013568420742</v>
      </c>
      <c r="BQ185" s="21">
        <f>EXP(-LN(2)/25)*BQ184+(1-EXP(-LN(2)/25))/(LN(2)/25)*Calculateur!BL185*Calculateur!BN185*VLOOKUP('Données projet'!$B$11,Paramètres!$A$1:$I$89,3,0)*0.475*44/12</f>
        <v>1.8452102139623547</v>
      </c>
      <c r="BR185" s="21">
        <f>EXP(-LN(2)/2)*BR184+(1-EXP(-LN(2)/2))/(LN(2)/2)*BL185*BO185*VLOOKUP('Données projet'!$B$11,Paramètres!$A$1:$I$89,3,0)*0.475*44/12</f>
        <v>5.9620357135905337E-16</v>
      </c>
      <c r="BS185" s="22">
        <f t="shared" si="169"/>
        <v>6.4325115708044303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1.5675675675675675</v>
      </c>
      <c r="CT185" s="12">
        <f>IF('Données projet'!$A$140&gt;35,CT184+CS185-DB184,IF(A185&lt;'Données projet'!$A$140,$CQ$205^A185,IF(A185='Données projet'!$A$140,'Données projet'!$B$140,CT184+CS185-DB184)))</f>
        <v>-142.27662957074722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289.60612764012171</v>
      </c>
      <c r="S186" s="59">
        <f ca="1">AVERAGE(OFFSET($R$3,0,0,'Données projet'!$E$9+1,1))-AVERAGE(OFFSET($H$3,0,0,'Données projet'!$E$9+1,1))</f>
        <v>737.40414421611001</v>
      </c>
      <c r="T186" s="59">
        <f t="shared" si="142"/>
        <v>245.32893490531674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377.28055430105911</v>
      </c>
      <c r="AO186" s="59">
        <f t="shared" si="144"/>
        <v>364.58250627635425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6.760291890748185</v>
      </c>
      <c r="AV186" s="21">
        <f>EXP(-LN(2)/25)*AV185+(1-EXP(-LN(2)/25))/(LN(2)/25)*Calculateur!AQ186*Calculateur!AS186*VLOOKUP('Données projet'!$B$10,Paramètres!$A$1:$I$89,3,0)*0.475*44/12</f>
        <v>2.9517173768424323</v>
      </c>
      <c r="AW186" s="21">
        <f>EXP(-LN(2)/2)*AW185+(1-EXP(-LN(2)/2))/(LN(2)/2)*AQ186*AT186*VLOOKUP('Données projet'!$B$10,Paramètres!$A$1:$I$89,3,0)*0.475*44/12</f>
        <v>1.9601449136821636E-14</v>
      </c>
      <c r="AX186" s="21">
        <f t="shared" si="166"/>
        <v>9.712009267590636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4.4337866711430253E-14</v>
      </c>
      <c r="BF186" s="13">
        <f t="shared" si="167"/>
        <v>7.3222115536967035E-13</v>
      </c>
      <c r="BG186" s="20">
        <f t="shared" si="168"/>
        <v>1.3525069634579169E-12</v>
      </c>
      <c r="BH186" s="59">
        <f t="shared" si="116"/>
        <v>289.60612764011432</v>
      </c>
      <c r="BI186" s="59">
        <f ca="1">AVERAGE(OFFSET($BH$3,0,0,'Données projet'!$E$11+1,1))-AVERAGE(OFFSET($H$3,0,0,'Données projet'!$E$11+1,1))</f>
        <v>308.85018589589453</v>
      </c>
      <c r="BJ186" s="59">
        <f t="shared" si="146"/>
        <v>302.59481222418219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4.4973471752119512</v>
      </c>
      <c r="BQ186" s="21">
        <f>EXP(-LN(2)/25)*BQ185+(1-EXP(-LN(2)/25))/(LN(2)/25)*Calculateur!BL186*Calculateur!BN186*VLOOKUP('Données projet'!$B$11,Paramètres!$A$1:$I$89,3,0)*0.475*44/12</f>
        <v>1.7947528436261664</v>
      </c>
      <c r="BR186" s="21">
        <f>EXP(-LN(2)/2)*BR185+(1-EXP(-LN(2)/2))/(LN(2)/2)*BL186*BO186*VLOOKUP('Données projet'!$B$11,Paramètres!$A$1:$I$89,3,0)*0.475*44/12</f>
        <v>4.2157958827562433E-16</v>
      </c>
      <c r="BS186" s="22">
        <f t="shared" si="169"/>
        <v>6.2921000188381173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1.5675675675675675</v>
      </c>
      <c r="CT186" s="12">
        <f>IF('Données projet'!$A$140&gt;35,CT185+CS186-DB185,IF(A186&lt;'Données projet'!$A$140,$CQ$205^A186,IF(A186='Données projet'!$A$140,'Données projet'!$B$140,CT185+CS186-DB185)))</f>
        <v>-140.70906200317964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289.67078632611549</v>
      </c>
      <c r="S187" s="59">
        <f ca="1">AVERAGE(OFFSET($R$3,0,0,'Données projet'!$E$9+1,1))-AVERAGE(OFFSET($H$3,0,0,'Données projet'!$E$9+1,1))</f>
        <v>737.40414421611001</v>
      </c>
      <c r="T187" s="59">
        <f t="shared" si="142"/>
        <v>245.32893490531674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377.28055430105911</v>
      </c>
      <c r="AO187" s="59">
        <f t="shared" si="144"/>
        <v>364.58250627635425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6.6277266901415173</v>
      </c>
      <c r="AV187" s="21">
        <f>EXP(-LN(2)/25)*AV186+(1-EXP(-LN(2)/25))/(LN(2)/25)*Calculateur!AQ187*Calculateur!AS187*VLOOKUP('Données projet'!$B$10,Paramètres!$A$1:$I$89,3,0)*0.475*44/12</f>
        <v>2.8710025099486054</v>
      </c>
      <c r="AW187" s="21">
        <f>EXP(-LN(2)/2)*AW186+(1-EXP(-LN(2)/2))/(LN(2)/2)*AQ187*AT187*VLOOKUP('Données projet'!$B$10,Paramètres!$A$1:$I$89,3,0)*0.475*44/12</f>
        <v>1.3860317605729778E-14</v>
      </c>
      <c r="AX187" s="21">
        <f t="shared" si="166"/>
        <v>9.4987292000901373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4.4337866711430253E-14</v>
      </c>
      <c r="BF187" s="13">
        <f t="shared" si="167"/>
        <v>7.3222115536967035E-13</v>
      </c>
      <c r="BG187" s="20">
        <f t="shared" si="168"/>
        <v>1.3525069634579169E-12</v>
      </c>
      <c r="BH187" s="59">
        <f t="shared" si="116"/>
        <v>289.6707863261081</v>
      </c>
      <c r="BI187" s="59">
        <f ca="1">AVERAGE(OFFSET($BH$3,0,0,'Données projet'!$E$11+1,1))-AVERAGE(OFFSET($H$3,0,0,'Données projet'!$E$11+1,1))</f>
        <v>308.85018589589453</v>
      </c>
      <c r="BJ187" s="59">
        <f t="shared" si="146"/>
        <v>302.59481222418219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4.4091569402169624</v>
      </c>
      <c r="BQ187" s="21">
        <f>EXP(-LN(2)/25)*BQ186+(1-EXP(-LN(2)/25))/(LN(2)/25)*Calculateur!BL187*Calculateur!BN187*VLOOKUP('Données projet'!$B$11,Paramètres!$A$1:$I$89,3,0)*0.475*44/12</f>
        <v>1.7456752327352587</v>
      </c>
      <c r="BR187" s="21">
        <f>EXP(-LN(2)/2)*BR186+(1-EXP(-LN(2)/2))/(LN(2)/2)*BL187*BO187*VLOOKUP('Données projet'!$B$11,Paramètres!$A$1:$I$89,3,0)*0.475*44/12</f>
        <v>2.9810178567952668E-16</v>
      </c>
      <c r="BS187" s="22">
        <f t="shared" si="169"/>
        <v>6.1548321729522213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1.5675675675675675</v>
      </c>
      <c r="CT187" s="12">
        <f>IF('Données projet'!$A$140&gt;35,CT186+CS187-DB186,IF(A187&lt;'Données projet'!$A$140,$CQ$205^A187,IF(A187='Données projet'!$A$140,'Données projet'!$B$140,CT186+CS187-DB186)))</f>
        <v>-139.14149443561206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289.73432332846249</v>
      </c>
      <c r="S188" s="59">
        <f ca="1">AVERAGE(OFFSET($R$3,0,0,'Données projet'!$E$9+1,1))-AVERAGE(OFFSET($H$3,0,0,'Données projet'!$E$9+1,1))</f>
        <v>737.40414421611001</v>
      </c>
      <c r="T188" s="59">
        <f t="shared" si="142"/>
        <v>245.32893490531674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377.28055430105911</v>
      </c>
      <c r="AO188" s="59">
        <f t="shared" si="144"/>
        <v>364.58250627635425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6.4977610122619582</v>
      </c>
      <c r="AV188" s="21">
        <f>EXP(-LN(2)/25)*AV187+(1-EXP(-LN(2)/25))/(LN(2)/25)*Calculateur!AQ188*Calculateur!AS188*VLOOKUP('Données projet'!$B$10,Paramètres!$A$1:$I$89,3,0)*0.475*44/12</f>
        <v>2.7924947953346004</v>
      </c>
      <c r="AW188" s="21">
        <f>EXP(-LN(2)/2)*AW187+(1-EXP(-LN(2)/2))/(LN(2)/2)*AQ188*AT188*VLOOKUP('Données projet'!$B$10,Paramètres!$A$1:$I$89,3,0)*0.475*44/12</f>
        <v>9.800724568410818E-15</v>
      </c>
      <c r="AX188" s="21">
        <f t="shared" si="166"/>
        <v>9.2902558075965693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4.4337866711430253E-14</v>
      </c>
      <c r="BF188" s="13">
        <f t="shared" si="167"/>
        <v>7.3222115536967035E-13</v>
      </c>
      <c r="BG188" s="20">
        <f t="shared" si="168"/>
        <v>1.3525069634579169E-12</v>
      </c>
      <c r="BH188" s="59">
        <f t="shared" si="116"/>
        <v>289.7343233284551</v>
      </c>
      <c r="BI188" s="59">
        <f ca="1">AVERAGE(OFFSET($BH$3,0,0,'Données projet'!$E$11+1,1))-AVERAGE(OFFSET($H$3,0,0,'Données projet'!$E$11+1,1))</f>
        <v>308.85018589589453</v>
      </c>
      <c r="BJ188" s="59">
        <f t="shared" si="146"/>
        <v>302.59481222418219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4.3226960619394932</v>
      </c>
      <c r="BQ188" s="21">
        <f>EXP(-LN(2)/25)*BQ187+(1-EXP(-LN(2)/25))/(LN(2)/25)*Calculateur!BL188*Calculateur!BN188*VLOOKUP('Données projet'!$B$11,Paramètres!$A$1:$I$89,3,0)*0.475*44/12</f>
        <v>1.6979396516950425</v>
      </c>
      <c r="BR188" s="21">
        <f>EXP(-LN(2)/2)*BR187+(1-EXP(-LN(2)/2))/(LN(2)/2)*BL188*BO188*VLOOKUP('Données projet'!$B$11,Paramètres!$A$1:$I$89,3,0)*0.475*44/12</f>
        <v>2.1078979413781216E-16</v>
      </c>
      <c r="BS188" s="22">
        <f t="shared" si="169"/>
        <v>6.0206357136345359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>
        <f>VLOOKUP(A188,'Données projet'!$A$139:$I$159,2,0)</f>
        <v>351</v>
      </c>
      <c r="CR188" s="12">
        <f>VLOOKUP(A188,'Données projet'!$A$139:$I$159,9,0)</f>
        <v>1.5675675675675675</v>
      </c>
      <c r="CS188" s="12">
        <f t="array" ref="CS188">INDEX(CR:CR,MIN(IF(ISNUMBER(CR188:CR384),ROW(CR188:CR384),"")))</f>
        <v>1.5675675675675675</v>
      </c>
      <c r="CT188" s="12">
        <f>IF('Données projet'!$A$140&gt;35,CT187+CS188-DB187,IF(A188&lt;'Données projet'!$A$140,$CQ$205^A188,IF(A188='Données projet'!$A$140,'Données projet'!$B$140,CT187+CS188-DB187)))</f>
        <v>-137.57392686804448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14</v>
      </c>
      <c r="DB188" s="15">
        <f>IF(ISNA(VLOOKUP(A188,'Données projet'!$A$139:$I$159,4,0)),0,VLOOKUP(A188,'Données projet'!$A$139:$I$159,4,0))</f>
        <v>41</v>
      </c>
      <c r="DC188" s="16" t="e">
        <f>IF(ISNA(VLOOKUP(A188,'Données projet'!$A$139:$I$159,5,0)),0%,VLOOKUP(A188,'Données projet'!$A$139:$I$159,5,0)*VLOOKUP('Données projet'!$B$13,Paramètres!$A$1:$I$89,7,0))</f>
        <v>#N/A</v>
      </c>
      <c r="DD188" s="16" t="e">
        <f>IF(ISNA(VLOOKUP(A188,'Données projet'!$A$139:$I$159,6,0)),0%,VLOOKUP(A188,'Données projet'!$A$139:$I$159,6,0)*VLOOKUP('Données projet'!$B$13,Paramètres!$A$1:$I$89,7,0))</f>
        <v>#N/A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289.79675810586616</v>
      </c>
      <c r="S189" s="59">
        <f ca="1">AVERAGE(OFFSET($R$3,0,0,'Données projet'!$E$9+1,1))-AVERAGE(OFFSET($H$3,0,0,'Données projet'!$E$9+1,1))</f>
        <v>737.40414421611001</v>
      </c>
      <c r="T189" s="59">
        <f t="shared" si="142"/>
        <v>245.32893490531674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377.28055430105911</v>
      </c>
      <c r="AO189" s="59">
        <f t="shared" si="144"/>
        <v>364.58250627635425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6.3703438820543807</v>
      </c>
      <c r="AV189" s="21">
        <f>EXP(-LN(2)/25)*AV188+(1-EXP(-LN(2)/25))/(LN(2)/25)*Calculateur!AQ189*Calculateur!AS189*VLOOKUP('Données projet'!$B$10,Paramètres!$A$1:$I$89,3,0)*0.475*44/12</f>
        <v>2.7161338783052567</v>
      </c>
      <c r="AW189" s="21">
        <f>EXP(-LN(2)/2)*AW188+(1-EXP(-LN(2)/2))/(LN(2)/2)*AQ189*AT189*VLOOKUP('Données projet'!$B$10,Paramètres!$A$1:$I$89,3,0)*0.475*44/12</f>
        <v>6.9301588028648888E-15</v>
      </c>
      <c r="AX189" s="21">
        <f t="shared" si="166"/>
        <v>9.0864777603596441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4.4337866711430253E-14</v>
      </c>
      <c r="BF189" s="13">
        <f t="shared" si="167"/>
        <v>7.3222115536967035E-13</v>
      </c>
      <c r="BG189" s="20">
        <f t="shared" si="168"/>
        <v>1.3525069634579169E-12</v>
      </c>
      <c r="BH189" s="59">
        <f t="shared" si="116"/>
        <v>289.79675810585877</v>
      </c>
      <c r="BI189" s="59">
        <f ca="1">AVERAGE(OFFSET($BH$3,0,0,'Données projet'!$E$11+1,1))-AVERAGE(OFFSET($H$3,0,0,'Données projet'!$E$11+1,1))</f>
        <v>308.85018589589453</v>
      </c>
      <c r="BJ189" s="59">
        <f t="shared" si="146"/>
        <v>302.59481222418219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4.2379306287491163</v>
      </c>
      <c r="BQ189" s="21">
        <f>EXP(-LN(2)/25)*BQ188+(1-EXP(-LN(2)/25))/(LN(2)/25)*Calculateur!BL189*Calculateur!BN189*VLOOKUP('Données projet'!$B$11,Paramètres!$A$1:$I$89,3,0)*0.475*44/12</f>
        <v>1.6515094026286758</v>
      </c>
      <c r="BR189" s="21">
        <f>EXP(-LN(2)/2)*BR188+(1-EXP(-LN(2)/2))/(LN(2)/2)*BL189*BO189*VLOOKUP('Données projet'!$B$11,Paramètres!$A$1:$I$89,3,0)*0.475*44/12</f>
        <v>1.4905089283976334E-16</v>
      </c>
      <c r="BS189" s="22">
        <f t="shared" si="169"/>
        <v>5.8894400313777924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-178.57392686804448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289.85810977946517</v>
      </c>
      <c r="S190" s="59">
        <f ca="1">AVERAGE(OFFSET($R$3,0,0,'Données projet'!$E$9+1,1))-AVERAGE(OFFSET($H$3,0,0,'Données projet'!$E$9+1,1))</f>
        <v>737.40414421611001</v>
      </c>
      <c r="T190" s="59">
        <f t="shared" si="142"/>
        <v>245.32893490531674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377.28055430105911</v>
      </c>
      <c r="AO190" s="59">
        <f t="shared" si="144"/>
        <v>364.58250627635425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6.2454253240533983</v>
      </c>
      <c r="AV190" s="21">
        <f>EXP(-LN(2)/25)*AV189+(1-EXP(-LN(2)/25))/(LN(2)/25)*Calculateur!AQ190*Calculateur!AS190*VLOOKUP('Données projet'!$B$10,Paramètres!$A$1:$I$89,3,0)*0.475*44/12</f>
        <v>2.6418610545677264</v>
      </c>
      <c r="AW190" s="21">
        <f>EXP(-LN(2)/2)*AW189+(1-EXP(-LN(2)/2))/(LN(2)/2)*AQ190*AT190*VLOOKUP('Données projet'!$B$10,Paramètres!$A$1:$I$89,3,0)*0.475*44/12</f>
        <v>4.900362284205409E-15</v>
      </c>
      <c r="AX190" s="21">
        <f t="shared" si="166"/>
        <v>8.8872863786211305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4.4337866711430253E-14</v>
      </c>
      <c r="BF190" s="13">
        <f t="shared" si="167"/>
        <v>7.3222115536967035E-13</v>
      </c>
      <c r="BG190" s="20">
        <f t="shared" si="168"/>
        <v>1.3525069634579169E-12</v>
      </c>
      <c r="BH190" s="59">
        <f t="shared" si="116"/>
        <v>289.85810977945778</v>
      </c>
      <c r="BI190" s="59">
        <f ca="1">AVERAGE(OFFSET($BH$3,0,0,'Données projet'!$E$11+1,1))-AVERAGE(OFFSET($H$3,0,0,'Données projet'!$E$11+1,1))</f>
        <v>308.85018589589453</v>
      </c>
      <c r="BJ190" s="59">
        <f t="shared" si="146"/>
        <v>302.59481222418219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4.1548273940017939</v>
      </c>
      <c r="BQ190" s="21">
        <f>EXP(-LN(2)/25)*BQ189+(1-EXP(-LN(2)/25))/(LN(2)/25)*Calculateur!BL190*Calculateur!BN190*VLOOKUP('Données projet'!$B$11,Paramètres!$A$1:$I$89,3,0)*0.475*44/12</f>
        <v>1.6063487911646899</v>
      </c>
      <c r="BR190" s="21">
        <f>EXP(-LN(2)/2)*BR189+(1-EXP(-LN(2)/2))/(LN(2)/2)*BL190*BO190*VLOOKUP('Données projet'!$B$11,Paramètres!$A$1:$I$89,3,0)*0.475*44/12</f>
        <v>1.0539489706890608E-16</v>
      </c>
      <c r="BS190" s="22">
        <f t="shared" si="169"/>
        <v>5.7611761851664838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-178.57392686804448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289.91839713868899</v>
      </c>
      <c r="S191" s="59">
        <f ca="1">AVERAGE(OFFSET($R$3,0,0,'Données projet'!$E$9+1,1))-AVERAGE(OFFSET($H$3,0,0,'Données projet'!$E$9+1,1))</f>
        <v>737.40414421611001</v>
      </c>
      <c r="T191" s="59">
        <f t="shared" si="142"/>
        <v>245.32893490531674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377.28055430105911</v>
      </c>
      <c r="AO191" s="59">
        <f t="shared" si="144"/>
        <v>364.58250627635425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6.1229563427820182</v>
      </c>
      <c r="AV191" s="21">
        <f>EXP(-LN(2)/25)*AV190+(1-EXP(-LN(2)/25))/(LN(2)/25)*Calculateur!AQ191*Calculateur!AS191*VLOOKUP('Données projet'!$B$10,Paramètres!$A$1:$I$89,3,0)*0.475*44/12</f>
        <v>2.5696192251011372</v>
      </c>
      <c r="AW191" s="21">
        <f>EXP(-LN(2)/2)*AW190+(1-EXP(-LN(2)/2))/(LN(2)/2)*AQ191*AT191*VLOOKUP('Données projet'!$B$10,Paramètres!$A$1:$I$89,3,0)*0.475*44/12</f>
        <v>3.4650794014324444E-15</v>
      </c>
      <c r="AX191" s="21">
        <f t="shared" si="166"/>
        <v>8.6925755678831589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4.4337866711430253E-14</v>
      </c>
      <c r="BF191" s="13">
        <f t="shared" si="167"/>
        <v>7.3222115536967035E-13</v>
      </c>
      <c r="BG191" s="20">
        <f t="shared" si="168"/>
        <v>1.3525069634579169E-12</v>
      </c>
      <c r="BH191" s="59">
        <f t="shared" si="116"/>
        <v>289.9183971386816</v>
      </c>
      <c r="BI191" s="59">
        <f ca="1">AVERAGE(OFFSET($BH$3,0,0,'Données projet'!$E$11+1,1))-AVERAGE(OFFSET($H$3,0,0,'Données projet'!$E$11+1,1))</f>
        <v>308.85018589589453</v>
      </c>
      <c r="BJ191" s="59">
        <f t="shared" si="146"/>
        <v>302.59481222418219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4.0733537629998979</v>
      </c>
      <c r="BQ191" s="21">
        <f>EXP(-LN(2)/25)*BQ190+(1-EXP(-LN(2)/25))/(LN(2)/25)*Calculateur!BL191*Calculateur!BN191*VLOOKUP('Données projet'!$B$11,Paramètres!$A$1:$I$89,3,0)*0.475*44/12</f>
        <v>1.5624230989960799</v>
      </c>
      <c r="BR191" s="21">
        <f>EXP(-LN(2)/2)*BR190+(1-EXP(-LN(2)/2))/(LN(2)/2)*BL191*BO191*VLOOKUP('Données projet'!$B$11,Paramètres!$A$1:$I$89,3,0)*0.475*44/12</f>
        <v>7.4525446419881671E-17</v>
      </c>
      <c r="BS191" s="22">
        <f t="shared" si="169"/>
        <v>5.6357768619959776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-178.57392686804448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289.97763864701261</v>
      </c>
      <c r="S192" s="59">
        <f ca="1">AVERAGE(OFFSET($R$3,0,0,'Données projet'!$E$9+1,1))-AVERAGE(OFFSET($H$3,0,0,'Données projet'!$E$9+1,1))</f>
        <v>737.40414421611001</v>
      </c>
      <c r="T192" s="59">
        <f t="shared" si="142"/>
        <v>245.32893490531674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377.28055430105911</v>
      </c>
      <c r="AO192" s="59">
        <f t="shared" si="144"/>
        <v>364.58250627635425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6.0028889035346671</v>
      </c>
      <c r="AV192" s="21">
        <f>EXP(-LN(2)/25)*AV191+(1-EXP(-LN(2)/25))/(LN(2)/25)*Calculateur!AQ192*Calculateur!AS192*VLOOKUP('Données projet'!$B$10,Paramètres!$A$1:$I$89,3,0)*0.475*44/12</f>
        <v>2.4993528522603445</v>
      </c>
      <c r="AW192" s="21">
        <f>EXP(-LN(2)/2)*AW191+(1-EXP(-LN(2)/2))/(LN(2)/2)*AQ192*AT192*VLOOKUP('Données projet'!$B$10,Paramètres!$A$1:$I$89,3,0)*0.475*44/12</f>
        <v>2.4501811421027045E-15</v>
      </c>
      <c r="AX192" s="21">
        <f t="shared" si="166"/>
        <v>8.5022417557950138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4.4337866711430253E-14</v>
      </c>
      <c r="BF192" s="13">
        <f t="shared" si="167"/>
        <v>7.3222115536967035E-13</v>
      </c>
      <c r="BG192" s="20">
        <f t="shared" si="168"/>
        <v>1.3525069634579169E-12</v>
      </c>
      <c r="BH192" s="59">
        <f t="shared" si="116"/>
        <v>289.97763864700522</v>
      </c>
      <c r="BI192" s="59">
        <f ca="1">AVERAGE(OFFSET($BH$3,0,0,'Données projet'!$E$11+1,1))-AVERAGE(OFFSET($H$3,0,0,'Données projet'!$E$11+1,1))</f>
        <v>308.85018589589453</v>
      </c>
      <c r="BJ192" s="59">
        <f t="shared" si="146"/>
        <v>302.59481222418219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3.9934777802079413</v>
      </c>
      <c r="BQ192" s="21">
        <f>EXP(-LN(2)/25)*BQ191+(1-EXP(-LN(2)/25))/(LN(2)/25)*Calculateur!BL192*Calculateur!BN192*VLOOKUP('Données projet'!$B$11,Paramètres!$A$1:$I$89,3,0)*0.475*44/12</f>
        <v>1.5196985571897723</v>
      </c>
      <c r="BR192" s="21">
        <f>EXP(-LN(2)/2)*BR191+(1-EXP(-LN(2)/2))/(LN(2)/2)*BL192*BO192*VLOOKUP('Données projet'!$B$11,Paramètres!$A$1:$I$89,3,0)*0.475*44/12</f>
        <v>5.2697448534453041E-17</v>
      </c>
      <c r="BS192" s="22">
        <f t="shared" si="169"/>
        <v>5.5131763373977138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-178.57392686804448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290.03585244761103</v>
      </c>
      <c r="S193" s="59">
        <f ca="1">AVERAGE(OFFSET($R$3,0,0,'Données projet'!$E$9+1,1))-AVERAGE(OFFSET($H$3,0,0,'Données projet'!$E$9+1,1))</f>
        <v>737.40414421611001</v>
      </c>
      <c r="T193" s="59">
        <f t="shared" si="142"/>
        <v>245.32893490531674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377.28055430105911</v>
      </c>
      <c r="AO193" s="59">
        <f t="shared" si="144"/>
        <v>364.58250627635425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5.8851759135370498</v>
      </c>
      <c r="AV193" s="21">
        <f>EXP(-LN(2)/25)*AV192+(1-EXP(-LN(2)/25))/(LN(2)/25)*Calculateur!AQ193*Calculateur!AS193*VLOOKUP('Données projet'!$B$10,Paramètres!$A$1:$I$89,3,0)*0.475*44/12</f>
        <v>2.4310079170800312</v>
      </c>
      <c r="AW193" s="21">
        <f>EXP(-LN(2)/2)*AW192+(1-EXP(-LN(2)/2))/(LN(2)/2)*AQ193*AT193*VLOOKUP('Données projet'!$B$10,Paramètres!$A$1:$I$89,3,0)*0.475*44/12</f>
        <v>1.7325397007162222E-15</v>
      </c>
      <c r="AX193" s="21">
        <f t="shared" si="166"/>
        <v>8.3161838306170832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4.4337866711430253E-14</v>
      </c>
      <c r="BF193" s="13">
        <f t="shared" si="167"/>
        <v>7.3222115536967035E-13</v>
      </c>
      <c r="BG193" s="20">
        <f t="shared" si="168"/>
        <v>1.3525069634579169E-12</v>
      </c>
      <c r="BH193" s="59">
        <f t="shared" si="116"/>
        <v>290.03585244760365</v>
      </c>
      <c r="BI193" s="59">
        <f ca="1">AVERAGE(OFFSET($BH$3,0,0,'Données projet'!$E$11+1,1))-AVERAGE(OFFSET($H$3,0,0,'Données projet'!$E$11+1,1))</f>
        <v>308.85018589589453</v>
      </c>
      <c r="BJ193" s="59">
        <f t="shared" si="146"/>
        <v>302.59481222418219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3.9151681167189962</v>
      </c>
      <c r="BQ193" s="21">
        <f>EXP(-LN(2)/25)*BQ192+(1-EXP(-LN(2)/25))/(LN(2)/25)*Calculateur!BL193*Calculateur!BN193*VLOOKUP('Données projet'!$B$11,Paramètres!$A$1:$I$89,3,0)*0.475*44/12</f>
        <v>1.4781423202259443</v>
      </c>
      <c r="BR193" s="21">
        <f>EXP(-LN(2)/2)*BR192+(1-EXP(-LN(2)/2))/(LN(2)/2)*BL193*BO193*VLOOKUP('Données projet'!$B$11,Paramètres!$A$1:$I$89,3,0)*0.475*44/12</f>
        <v>3.7262723209940835E-17</v>
      </c>
      <c r="BS193" s="22">
        <f t="shared" si="169"/>
        <v>5.3933104369449403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-178.57392686804448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290.0930563689156</v>
      </c>
      <c r="S194" s="59">
        <f ca="1">AVERAGE(OFFSET($R$3,0,0,'Données projet'!$E$9+1,1))-AVERAGE(OFFSET($H$3,0,0,'Données projet'!$E$9+1,1))</f>
        <v>737.40414421611001</v>
      </c>
      <c r="T194" s="59">
        <f t="shared" si="142"/>
        <v>245.32893490531674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377.28055430105911</v>
      </c>
      <c r="AO194" s="59">
        <f t="shared" si="144"/>
        <v>364.58250627635425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5.769771203475452</v>
      </c>
      <c r="AV194" s="21">
        <f>EXP(-LN(2)/25)*AV193+(1-EXP(-LN(2)/25))/(LN(2)/25)*Calculateur!AQ194*Calculateur!AS194*VLOOKUP('Données projet'!$B$10,Paramètres!$A$1:$I$89,3,0)*0.475*44/12</f>
        <v>2.3645318777463276</v>
      </c>
      <c r="AW194" s="21">
        <f>EXP(-LN(2)/2)*AW193+(1-EXP(-LN(2)/2))/(LN(2)/2)*AQ194*AT194*VLOOKUP('Données projet'!$B$10,Paramètres!$A$1:$I$89,3,0)*0.475*44/12</f>
        <v>1.2250905710513523E-15</v>
      </c>
      <c r="AX194" s="21">
        <f t="shared" si="166"/>
        <v>8.1343030812217823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4.4337866711430253E-14</v>
      </c>
      <c r="BF194" s="13">
        <f t="shared" si="167"/>
        <v>7.3222115536967035E-13</v>
      </c>
      <c r="BG194" s="20">
        <f t="shared" si="168"/>
        <v>1.3525069634579169E-12</v>
      </c>
      <c r="BH194" s="59">
        <f t="shared" si="116"/>
        <v>290.09305636890821</v>
      </c>
      <c r="BI194" s="59">
        <f ca="1">AVERAGE(OFFSET($BH$3,0,0,'Données projet'!$E$11+1,1))-AVERAGE(OFFSET($H$3,0,0,'Données projet'!$E$11+1,1))</f>
        <v>308.85018589589453</v>
      </c>
      <c r="BJ194" s="59">
        <f t="shared" si="146"/>
        <v>302.59481222418219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3.8383940579668909</v>
      </c>
      <c r="BQ194" s="21">
        <f>EXP(-LN(2)/25)*BQ193+(1-EXP(-LN(2)/25))/(LN(2)/25)*Calculateur!BL194*Calculateur!BN194*VLOOKUP('Données projet'!$B$11,Paramètres!$A$1:$I$89,3,0)*0.475*44/12</f>
        <v>1.4377224407472395</v>
      </c>
      <c r="BR194" s="21">
        <f>EXP(-LN(2)/2)*BR193+(1-EXP(-LN(2)/2))/(LN(2)/2)*BL194*BO194*VLOOKUP('Données projet'!$B$11,Paramètres!$A$1:$I$89,3,0)*0.475*44/12</f>
        <v>2.634872426722652E-17</v>
      </c>
      <c r="BS194" s="22">
        <f t="shared" si="169"/>
        <v>5.2761164987141305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-178.57392686804448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290.14926793007442</v>
      </c>
      <c r="S195" s="59">
        <f ca="1">AVERAGE(OFFSET($R$3,0,0,'Données projet'!$E$9+1,1))-AVERAGE(OFFSET($H$3,0,0,'Données projet'!$E$9+1,1))</f>
        <v>737.40414421611001</v>
      </c>
      <c r="T195" s="59">
        <f t="shared" si="142"/>
        <v>245.32893490531674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377.28055430105911</v>
      </c>
      <c r="AO195" s="59">
        <f t="shared" si="144"/>
        <v>364.58250627635425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5.6566295093882388</v>
      </c>
      <c r="AV195" s="21">
        <f>EXP(-LN(2)/25)*AV194+(1-EXP(-LN(2)/25))/(LN(2)/25)*Calculateur!AQ195*Calculateur!AS195*VLOOKUP('Données projet'!$B$10,Paramètres!$A$1:$I$89,3,0)*0.475*44/12</f>
        <v>2.2998736292040269</v>
      </c>
      <c r="AW195" s="21">
        <f>EXP(-LN(2)/2)*AW194+(1-EXP(-LN(2)/2))/(LN(2)/2)*AQ195*AT195*VLOOKUP('Données projet'!$B$10,Paramètres!$A$1:$I$89,3,0)*0.475*44/12</f>
        <v>8.662698503581111E-16</v>
      </c>
      <c r="AX195" s="21">
        <f t="shared" si="166"/>
        <v>7.9565031385922671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4.4337866711430253E-14</v>
      </c>
      <c r="BF195" s="13">
        <f t="shared" si="167"/>
        <v>7.3222115536967035E-13</v>
      </c>
      <c r="BG195" s="20">
        <f t="shared" si="168"/>
        <v>1.3525069634579169E-12</v>
      </c>
      <c r="BH195" s="59">
        <f t="shared" si="116"/>
        <v>290.14926793006703</v>
      </c>
      <c r="BI195" s="59">
        <f ca="1">AVERAGE(OFFSET($BH$3,0,0,'Données projet'!$E$11+1,1))-AVERAGE(OFFSET($H$3,0,0,'Données projet'!$E$11+1,1))</f>
        <v>308.85018589589453</v>
      </c>
      <c r="BJ195" s="59">
        <f t="shared" si="146"/>
        <v>302.59481222418219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3.7631254916793622</v>
      </c>
      <c r="BQ195" s="21">
        <f>EXP(-LN(2)/25)*BQ194+(1-EXP(-LN(2)/25))/(LN(2)/25)*Calculateur!BL195*Calculateur!BN195*VLOOKUP('Données projet'!$B$11,Paramètres!$A$1:$I$89,3,0)*0.475*44/12</f>
        <v>1.3984078449984692</v>
      </c>
      <c r="BR195" s="21">
        <f>EXP(-LN(2)/2)*BR194+(1-EXP(-LN(2)/2))/(LN(2)/2)*BL195*BO195*VLOOKUP('Données projet'!$B$11,Paramètres!$A$1:$I$89,3,0)*0.475*44/12</f>
        <v>1.8631361604970418E-17</v>
      </c>
      <c r="BS195" s="22">
        <f t="shared" si="169"/>
        <v>5.1615333366778309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-178.57392686804448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290.20450434631726</v>
      </c>
      <c r="S196" s="59">
        <f ca="1">AVERAGE(OFFSET($R$3,0,0,'Données projet'!$E$9+1,1))-AVERAGE(OFFSET($H$3,0,0,'Données projet'!$E$9+1,1))</f>
        <v>737.40414421611001</v>
      </c>
      <c r="T196" s="59">
        <f t="shared" si="142"/>
        <v>245.32893490531674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377.28055430105911</v>
      </c>
      <c r="AO196" s="59">
        <f t="shared" si="144"/>
        <v>364.58250627635425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5.5457064549124571</v>
      </c>
      <c r="AV196" s="21">
        <f>EXP(-LN(2)/25)*AV195+(1-EXP(-LN(2)/25))/(LN(2)/25)*Calculateur!AQ196*Calculateur!AS196*VLOOKUP('Données projet'!$B$10,Paramètres!$A$1:$I$89,3,0)*0.475*44/12</f>
        <v>2.236983463868345</v>
      </c>
      <c r="AW196" s="21">
        <f>EXP(-LN(2)/2)*AW195+(1-EXP(-LN(2)/2))/(LN(2)/2)*AQ196*AT196*VLOOKUP('Données projet'!$B$10,Paramètres!$A$1:$I$89,3,0)*0.475*44/12</f>
        <v>6.1254528552567613E-16</v>
      </c>
      <c r="AX196" s="21">
        <f t="shared" si="166"/>
        <v>7.782689918780803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4.4337866711430253E-14</v>
      </c>
      <c r="BF196" s="13">
        <f t="shared" si="167"/>
        <v>7.3222115536967035E-13</v>
      </c>
      <c r="BG196" s="20">
        <f t="shared" si="168"/>
        <v>1.3525069634579169E-12</v>
      </c>
      <c r="BH196" s="59">
        <f t="shared" ref="BH196:BH203" si="194">BG196+(AY196+AZ196)*44/12</f>
        <v>290.20450434630988</v>
      </c>
      <c r="BI196" s="59">
        <f ca="1">AVERAGE(OFFSET($BH$3,0,0,'Données projet'!$E$11+1,1))-AVERAGE(OFFSET($H$3,0,0,'Données projet'!$E$11+1,1))</f>
        <v>308.85018589589453</v>
      </c>
      <c r="BJ196" s="59">
        <f t="shared" si="146"/>
        <v>302.59481222418219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3.6893328960674396</v>
      </c>
      <c r="BQ196" s="21">
        <f>EXP(-LN(2)/25)*BQ195+(1-EXP(-LN(2)/25))/(LN(2)/25)*Calculateur!BL196*Calculateur!BN196*VLOOKUP('Données projet'!$B$11,Paramètres!$A$1:$I$89,3,0)*0.475*44/12</f>
        <v>1.3601683089379135</v>
      </c>
      <c r="BR196" s="21">
        <f>EXP(-LN(2)/2)*BR195+(1-EXP(-LN(2)/2))/(LN(2)/2)*BL196*BO196*VLOOKUP('Données projet'!$B$11,Paramètres!$A$1:$I$89,3,0)*0.475*44/12</f>
        <v>1.317436213361326E-17</v>
      </c>
      <c r="BS196" s="22">
        <f t="shared" si="169"/>
        <v>5.0495012050053534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-178.57392686804448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290.25878253422849</v>
      </c>
      <c r="S197" s="59">
        <f ca="1">AVERAGE(OFFSET($R$3,0,0,'Données projet'!$E$9+1,1))-AVERAGE(OFFSET($H$3,0,0,'Données projet'!$E$9+1,1))</f>
        <v>737.40414421611001</v>
      </c>
      <c r="T197" s="59">
        <f t="shared" ref="T197:T203" si="204">$T$3</f>
        <v>245.32893490531674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377.28055430105911</v>
      </c>
      <c r="AO197" s="59">
        <f t="shared" ref="AO197:AO203" si="205">$AO$3</f>
        <v>364.58250627635425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5.4369585338785624</v>
      </c>
      <c r="AV197" s="21">
        <f>EXP(-LN(2)/25)*AV196+(1-EXP(-LN(2)/25))/(LN(2)/25)*Calculateur!AQ197*Calculateur!AS197*VLOOKUP('Données projet'!$B$10,Paramètres!$A$1:$I$89,3,0)*0.475*44/12</f>
        <v>2.1758130334110173</v>
      </c>
      <c r="AW197" s="21">
        <f>EXP(-LN(2)/2)*AW196+(1-EXP(-LN(2)/2))/(LN(2)/2)*AQ197*AT197*VLOOKUP('Données projet'!$B$10,Paramètres!$A$1:$I$89,3,0)*0.475*44/12</f>
        <v>4.3313492517905555E-16</v>
      </c>
      <c r="AX197" s="21">
        <f t="shared" si="166"/>
        <v>7.6127715672895793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4.4337866711430253E-14</v>
      </c>
      <c r="BF197" s="13">
        <f t="shared" si="167"/>
        <v>7.3222115536967035E-13</v>
      </c>
      <c r="BG197" s="20">
        <f t="shared" si="168"/>
        <v>1.3525069634579169E-12</v>
      </c>
      <c r="BH197" s="59">
        <f t="shared" si="194"/>
        <v>290.2587825342211</v>
      </c>
      <c r="BI197" s="59">
        <f ca="1">AVERAGE(OFFSET($BH$3,0,0,'Données projet'!$E$11+1,1))-AVERAGE(OFFSET($H$3,0,0,'Données projet'!$E$11+1,1))</f>
        <v>308.85018589589453</v>
      </c>
      <c r="BJ197" s="59">
        <f t="shared" ref="BJ197:BJ203" si="206">$BJ$3</f>
        <v>302.59481222418219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3.6169873282464278</v>
      </c>
      <c r="BQ197" s="21">
        <f>EXP(-LN(2)/25)*BQ196+(1-EXP(-LN(2)/25))/(LN(2)/25)*Calculateur!BL197*Calculateur!BN197*VLOOKUP('Données projet'!$B$11,Paramètres!$A$1:$I$89,3,0)*0.475*44/12</f>
        <v>1.3229744350018635</v>
      </c>
      <c r="BR197" s="21">
        <f>EXP(-LN(2)/2)*BR196+(1-EXP(-LN(2)/2))/(LN(2)/2)*BL197*BO197*VLOOKUP('Données projet'!$B$11,Paramètres!$A$1:$I$89,3,0)*0.475*44/12</f>
        <v>9.3156808024852089E-18</v>
      </c>
      <c r="BS197" s="22">
        <f t="shared" si="169"/>
        <v>4.9399617632482915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-178.57392686804448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290.31211911692725</v>
      </c>
      <c r="S198" s="59">
        <f ca="1">AVERAGE(OFFSET($R$3,0,0,'Données projet'!$E$9+1,1))-AVERAGE(OFFSET($H$3,0,0,'Données projet'!$E$9+1,1))</f>
        <v>737.40414421611001</v>
      </c>
      <c r="T198" s="59">
        <f t="shared" si="204"/>
        <v>245.32893490531674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377.28055430105911</v>
      </c>
      <c r="AO198" s="59">
        <f t="shared" si="205"/>
        <v>364.58250627635425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5.3303430932464604</v>
      </c>
      <c r="AV198" s="21">
        <f>EXP(-LN(2)/25)*AV197+(1-EXP(-LN(2)/25))/(LN(2)/25)*Calculateur!AQ198*Calculateur!AS198*VLOOKUP('Données projet'!$B$10,Paramètres!$A$1:$I$89,3,0)*0.475*44/12</f>
        <v>2.1163153115913587</v>
      </c>
      <c r="AW198" s="21">
        <f>EXP(-LN(2)/2)*AW197+(1-EXP(-LN(2)/2))/(LN(2)/2)*AQ198*AT198*VLOOKUP('Données projet'!$B$10,Paramètres!$A$1:$I$89,3,0)*0.475*44/12</f>
        <v>3.0627264276283806E-16</v>
      </c>
      <c r="AX198" s="21">
        <f t="shared" si="166"/>
        <v>7.4466584048378195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4.4337866711430253E-14</v>
      </c>
      <c r="BF198" s="13">
        <f t="shared" si="167"/>
        <v>7.3222115536967035E-13</v>
      </c>
      <c r="BG198" s="20">
        <f t="shared" si="168"/>
        <v>1.3525069634579169E-12</v>
      </c>
      <c r="BH198" s="59">
        <f t="shared" si="194"/>
        <v>290.31211911691986</v>
      </c>
      <c r="BI198" s="59">
        <f ca="1">AVERAGE(OFFSET($BH$3,0,0,'Données projet'!$E$11+1,1))-AVERAGE(OFFSET($H$3,0,0,'Données projet'!$E$11+1,1))</f>
        <v>308.85018589589453</v>
      </c>
      <c r="BJ198" s="59">
        <f t="shared" si="206"/>
        <v>302.59481222418219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3.5460604128839468</v>
      </c>
      <c r="BQ198" s="21">
        <f>EXP(-LN(2)/25)*BQ197+(1-EXP(-LN(2)/25))/(LN(2)/25)*Calculateur!BL198*Calculateur!BN198*VLOOKUP('Données projet'!$B$11,Paramètres!$A$1:$I$89,3,0)*0.475*44/12</f>
        <v>1.2867976295045358</v>
      </c>
      <c r="BR198" s="21">
        <f>EXP(-LN(2)/2)*BR197+(1-EXP(-LN(2)/2))/(LN(2)/2)*BL198*BO198*VLOOKUP('Données projet'!$B$11,Paramètres!$A$1:$I$89,3,0)*0.475*44/12</f>
        <v>6.5871810668066301E-18</v>
      </c>
      <c r="BS198" s="22">
        <f t="shared" si="169"/>
        <v>4.8328580423884828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-178.57392686804448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290.36453042915895</v>
      </c>
      <c r="S199" s="59">
        <f ca="1">AVERAGE(OFFSET($R$3,0,0,'Données projet'!$E$9+1,1))-AVERAGE(OFFSET($H$3,0,0,'Données projet'!$E$9+1,1))</f>
        <v>737.40414421611001</v>
      </c>
      <c r="T199" s="59">
        <f t="shared" si="204"/>
        <v>245.32893490531674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377.28055430105911</v>
      </c>
      <c r="AO199" s="59">
        <f t="shared" si="205"/>
        <v>364.58250627635425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5.2258183163761558</v>
      </c>
      <c r="AV199" s="21">
        <f>EXP(-LN(2)/25)*AV198+(1-EXP(-LN(2)/25))/(LN(2)/25)*Calculateur!AQ199*Calculateur!AS199*VLOOKUP('Données projet'!$B$10,Paramètres!$A$1:$I$89,3,0)*0.475*44/12</f>
        <v>2.0584445581037074</v>
      </c>
      <c r="AW199" s="21">
        <f>EXP(-LN(2)/2)*AW198+(1-EXP(-LN(2)/2))/(LN(2)/2)*AQ199*AT199*VLOOKUP('Données projet'!$B$10,Paramètres!$A$1:$I$89,3,0)*0.475*44/12</f>
        <v>2.1656746258952777E-16</v>
      </c>
      <c r="AX199" s="21">
        <f t="shared" si="166"/>
        <v>7.2842628744798628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4.4337866711430253E-14</v>
      </c>
      <c r="BF199" s="13">
        <f t="shared" si="167"/>
        <v>7.3222115536967035E-13</v>
      </c>
      <c r="BG199" s="20">
        <f t="shared" si="168"/>
        <v>1.3525069634579169E-12</v>
      </c>
      <c r="BH199" s="59">
        <f t="shared" si="194"/>
        <v>290.36453042915156</v>
      </c>
      <c r="BI199" s="59">
        <f ca="1">AVERAGE(OFFSET($BH$3,0,0,'Données projet'!$E$11+1,1))-AVERAGE(OFFSET($H$3,0,0,'Données projet'!$E$11+1,1))</f>
        <v>308.85018589589453</v>
      </c>
      <c r="BJ199" s="59">
        <f t="shared" si="206"/>
        <v>302.59481222418219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3.4765243310705776</v>
      </c>
      <c r="BQ199" s="21">
        <f>EXP(-LN(2)/25)*BQ198+(1-EXP(-LN(2)/25))/(LN(2)/25)*Calculateur!BL199*Calculateur!BN199*VLOOKUP('Données projet'!$B$11,Paramètres!$A$1:$I$89,3,0)*0.475*44/12</f>
        <v>1.251610080655988</v>
      </c>
      <c r="BR199" s="21">
        <f>EXP(-LN(2)/2)*BR198+(1-EXP(-LN(2)/2))/(LN(2)/2)*BL199*BO199*VLOOKUP('Données projet'!$B$11,Paramètres!$A$1:$I$89,3,0)*0.475*44/12</f>
        <v>4.6578404012426044E-18</v>
      </c>
      <c r="BS199" s="22">
        <f t="shared" si="169"/>
        <v>4.7281344117265656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-178.57392686804448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290.41603252229754</v>
      </c>
      <c r="S200" s="59">
        <f ca="1">AVERAGE(OFFSET($R$3,0,0,'Données projet'!$E$9+1,1))-AVERAGE(OFFSET($H$3,0,0,'Données projet'!$E$9+1,1))</f>
        <v>737.40414421611001</v>
      </c>
      <c r="T200" s="59">
        <f t="shared" si="204"/>
        <v>245.32893490531674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377.28055430105911</v>
      </c>
      <c r="AO200" s="59">
        <f t="shared" si="205"/>
        <v>364.58250627635425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5.1233432066264593</v>
      </c>
      <c r="AV200" s="21">
        <f>EXP(-LN(2)/25)*AV199+(1-EXP(-LN(2)/25))/(LN(2)/25)*Calculateur!AQ200*Calculateur!AS200*VLOOKUP('Données projet'!$B$10,Paramètres!$A$1:$I$89,3,0)*0.475*44/12</f>
        <v>2.0021562834134667</v>
      </c>
      <c r="AW200" s="21">
        <f>EXP(-LN(2)/2)*AW199+(1-EXP(-LN(2)/2))/(LN(2)/2)*AQ200*AT200*VLOOKUP('Données projet'!$B$10,Paramètres!$A$1:$I$89,3,0)*0.475*44/12</f>
        <v>1.5313632138141903E-16</v>
      </c>
      <c r="AX200" s="21">
        <f t="shared" si="166"/>
        <v>7.1254994900399264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4.4337866711430253E-14</v>
      </c>
      <c r="BF200" s="13">
        <f t="shared" si="167"/>
        <v>7.3222115536967035E-13</v>
      </c>
      <c r="BG200" s="20">
        <f t="shared" si="168"/>
        <v>1.3525069634579169E-12</v>
      </c>
      <c r="BH200" s="59">
        <f t="shared" si="194"/>
        <v>290.41603252229015</v>
      </c>
      <c r="BI200" s="59">
        <f ca="1">AVERAGE(OFFSET($BH$3,0,0,'Données projet'!$E$11+1,1))-AVERAGE(OFFSET($H$3,0,0,'Données projet'!$E$11+1,1))</f>
        <v>308.85018589589453</v>
      </c>
      <c r="BJ200" s="59">
        <f t="shared" si="206"/>
        <v>302.59481222418219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3.4083518094087464</v>
      </c>
      <c r="BQ200" s="21">
        <f>EXP(-LN(2)/25)*BQ199+(1-EXP(-LN(2)/25))/(LN(2)/25)*Calculateur!BL200*Calculateur!BN200*VLOOKUP('Données projet'!$B$11,Paramètres!$A$1:$I$89,3,0)*0.475*44/12</f>
        <v>1.2173847371811364</v>
      </c>
      <c r="BR200" s="21">
        <f>EXP(-LN(2)/2)*BR199+(1-EXP(-LN(2)/2))/(LN(2)/2)*BL200*BO200*VLOOKUP('Données projet'!$B$11,Paramètres!$A$1:$I$89,3,0)*0.475*44/12</f>
        <v>3.2935905334033151E-18</v>
      </c>
      <c r="BS200" s="22">
        <f t="shared" si="169"/>
        <v>4.6257365465898825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-178.57392686804448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290.46664116926166</v>
      </c>
      <c r="S201" s="59">
        <f ca="1">AVERAGE(OFFSET($R$3,0,0,'Données projet'!$E$9+1,1))-AVERAGE(OFFSET($H$3,0,0,'Données projet'!$E$9+1,1))</f>
        <v>737.40414421611001</v>
      </c>
      <c r="T201" s="59">
        <f t="shared" si="204"/>
        <v>245.32893490531674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377.28055430105911</v>
      </c>
      <c r="AO201" s="59">
        <f t="shared" si="205"/>
        <v>364.58250627635425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5.0228775712753091</v>
      </c>
      <c r="AV201" s="21">
        <f>EXP(-LN(2)/25)*AV200+(1-EXP(-LN(2)/25))/(LN(2)/25)*Calculateur!AQ201*Calculateur!AS201*VLOOKUP('Données projet'!$B$10,Paramètres!$A$1:$I$89,3,0)*0.475*44/12</f>
        <v>1.9474072145547026</v>
      </c>
      <c r="AW201" s="21">
        <f>EXP(-LN(2)/2)*AW200+(1-EXP(-LN(2)/2))/(LN(2)/2)*AQ201*AT201*VLOOKUP('Données projet'!$B$10,Paramètres!$A$1:$I$89,3,0)*0.475*44/12</f>
        <v>1.0828373129476389E-16</v>
      </c>
      <c r="AX201" s="21">
        <f t="shared" si="166"/>
        <v>6.9702847858300121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4.4337866711430253E-14</v>
      </c>
      <c r="BF201" s="13">
        <f t="shared" si="167"/>
        <v>7.3222115536967035E-13</v>
      </c>
      <c r="BG201" s="20">
        <f t="shared" si="168"/>
        <v>1.3525069634579169E-12</v>
      </c>
      <c r="BH201" s="59">
        <f t="shared" si="194"/>
        <v>290.46664116925427</v>
      </c>
      <c r="BI201" s="59">
        <f ca="1">AVERAGE(OFFSET($BH$3,0,0,'Données projet'!$E$11+1,1))-AVERAGE(OFFSET($H$3,0,0,'Données projet'!$E$11+1,1))</f>
        <v>308.85018589589453</v>
      </c>
      <c r="BJ201" s="59">
        <f t="shared" si="206"/>
        <v>302.59481222418219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3.3415161093155712</v>
      </c>
      <c r="BQ201" s="21">
        <f>EXP(-LN(2)/25)*BQ200+(1-EXP(-LN(2)/25))/(LN(2)/25)*Calculateur!BL201*Calculateur!BN201*VLOOKUP('Données projet'!$B$11,Paramètres!$A$1:$I$89,3,0)*0.475*44/12</f>
        <v>1.1840952875234372</v>
      </c>
      <c r="BR201" s="21">
        <f>EXP(-LN(2)/2)*BR200+(1-EXP(-LN(2)/2))/(LN(2)/2)*BL201*BO201*VLOOKUP('Données projet'!$B$11,Paramètres!$A$1:$I$89,3,0)*0.475*44/12</f>
        <v>2.3289202006213022E-18</v>
      </c>
      <c r="BS201" s="22">
        <f t="shared" si="169"/>
        <v>4.5256113968390084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-178.57392686804448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290.51637186934488</v>
      </c>
      <c r="S202" s="59">
        <f ca="1">AVERAGE(OFFSET($R$3,0,0,'Données projet'!$E$9+1,1))-AVERAGE(OFFSET($H$3,0,0,'Données projet'!$E$9+1,1))</f>
        <v>737.40414421611001</v>
      </c>
      <c r="T202" s="59">
        <f t="shared" si="204"/>
        <v>245.32893490531674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377.28055430105911</v>
      </c>
      <c r="AO202" s="59">
        <f t="shared" si="205"/>
        <v>364.58250627635425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4.9243820057554082</v>
      </c>
      <c r="AV202" s="21">
        <f>EXP(-LN(2)/25)*AV201+(1-EXP(-LN(2)/25))/(LN(2)/25)*Calculateur!AQ202*Calculateur!AS202*VLOOKUP('Données projet'!$B$10,Paramètres!$A$1:$I$89,3,0)*0.475*44/12</f>
        <v>1.8941552618630098</v>
      </c>
      <c r="AW202" s="21">
        <f>EXP(-LN(2)/2)*AW201+(1-EXP(-LN(2)/2))/(LN(2)/2)*AQ202*AT202*VLOOKUP('Données projet'!$B$10,Paramètres!$A$1:$I$89,3,0)*0.475*44/12</f>
        <v>7.6568160690709516E-17</v>
      </c>
      <c r="AX202" s="21">
        <f t="shared" si="166"/>
        <v>6.8185372676184182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4.4337866711430253E-14</v>
      </c>
      <c r="BF202" s="13">
        <f t="shared" si="167"/>
        <v>7.3222115536967035E-13</v>
      </c>
      <c r="BG202" s="20">
        <f t="shared" si="168"/>
        <v>1.3525069634579169E-12</v>
      </c>
      <c r="BH202" s="59">
        <f t="shared" si="194"/>
        <v>290.51637186933749</v>
      </c>
      <c r="BI202" s="59">
        <f ca="1">AVERAGE(OFFSET($BH$3,0,0,'Données projet'!$E$11+1,1))-AVERAGE(OFFSET($H$3,0,0,'Données projet'!$E$11+1,1))</f>
        <v>308.85018589589453</v>
      </c>
      <c r="BJ202" s="59">
        <f t="shared" si="206"/>
        <v>302.59481222418219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3.2759910165354715</v>
      </c>
      <c r="BQ202" s="21">
        <f>EXP(-LN(2)/25)*BQ201+(1-EXP(-LN(2)/25))/(LN(2)/25)*Calculateur!BL202*Calculateur!BN202*VLOOKUP('Données projet'!$B$11,Paramètres!$A$1:$I$89,3,0)*0.475*44/12</f>
        <v>1.151716139617244</v>
      </c>
      <c r="BR202" s="21">
        <f>EXP(-LN(2)/2)*BR201+(1-EXP(-LN(2)/2))/(LN(2)/2)*BL202*BO202*VLOOKUP('Données projet'!$B$11,Paramètres!$A$1:$I$89,3,0)*0.475*44/12</f>
        <v>1.6467952667016575E-18</v>
      </c>
      <c r="BS202" s="22">
        <f t="shared" si="169"/>
        <v>4.4277071561527155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-178.57392686804448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290.56523985296286</v>
      </c>
      <c r="S203" s="59">
        <f ca="1">AVERAGE(OFFSET($R$3,0,0,'Données projet'!$E$9+1,1))-AVERAGE(OFFSET($H$3,0,0,'Données projet'!$E$9+1,1))</f>
        <v>737.40414421611001</v>
      </c>
      <c r="T203" s="59">
        <f t="shared" si="204"/>
        <v>245.32893490531674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377.28055430105911</v>
      </c>
      <c r="AO203" s="59">
        <f t="shared" si="205"/>
        <v>364.58250627635425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4.8278178781989896</v>
      </c>
      <c r="AV203" s="21">
        <f>EXP(-LN(2)/25)*AV202+(1-EXP(-LN(2)/25))/(LN(2)/25)*Calculateur!AQ203*Calculateur!AS203*VLOOKUP('Données projet'!$B$10,Paramètres!$A$1:$I$89,3,0)*0.475*44/12</f>
        <v>1.8423594866180697</v>
      </c>
      <c r="AW203" s="21">
        <f>EXP(-LN(2)/2)*AW202+(1-EXP(-LN(2)/2))/(LN(2)/2)*AQ203*AT203*VLOOKUP('Données projet'!$B$10,Paramètres!$A$1:$I$89,3,0)*0.475*44/12</f>
        <v>5.4141865647381944E-17</v>
      </c>
      <c r="AX203" s="21">
        <f t="shared" si="166"/>
        <v>6.670177364817059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4.4337866711430253E-14</v>
      </c>
      <c r="BF203" s="13">
        <f t="shared" si="167"/>
        <v>7.3222115536967035E-13</v>
      </c>
      <c r="BG203" s="20">
        <f t="shared" si="168"/>
        <v>1.3525069634579169E-12</v>
      </c>
      <c r="BH203" s="59">
        <f t="shared" si="194"/>
        <v>290.56523985295547</v>
      </c>
      <c r="BI203" s="59">
        <f ca="1">AVERAGE(OFFSET($BH$3,0,0,'Données projet'!$E$11+1,1))-AVERAGE(OFFSET($H$3,0,0,'Données projet'!$E$11+1,1))</f>
        <v>308.85018589589453</v>
      </c>
      <c r="BJ203" s="59">
        <f t="shared" si="206"/>
        <v>302.59481222418219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3.2117508308584295</v>
      </c>
      <c r="BQ203" s="21">
        <f>EXP(-LN(2)/25)*BQ202+(1-EXP(-LN(2)/25))/(LN(2)/25)*Calculateur!BL203*Calculateur!BN203*VLOOKUP('Données projet'!$B$11,Paramètres!$A$1:$I$89,3,0)*0.475*44/12</f>
        <v>1.1202224012132909</v>
      </c>
      <c r="BR203" s="21">
        <f>EXP(-LN(2)/2)*BR202+(1-EXP(-LN(2)/2))/(LN(2)/2)*BL203*BO203*VLOOKUP('Données projet'!$B$11,Paramètres!$A$1:$I$89,3,0)*0.475*44/12</f>
        <v>1.1644601003106511E-18</v>
      </c>
      <c r="BS203" s="22">
        <f t="shared" si="169"/>
        <v>4.3319732320717206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-178.57392686804448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1.1636646418946561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1.3208724756526424</v>
      </c>
      <c r="BA205" s="82">
        <f>EXP(LN('Données projet'!B88)/'Données projet'!A88)</f>
        <v>1.2788040393997409</v>
      </c>
      <c r="BV205" s="82">
        <f>EXP(LN('Données projet'!B114)/'Données projet'!A114)</f>
        <v>1.2788040393997409</v>
      </c>
      <c r="CQ205" s="82">
        <f>EXP(LN('Données projet'!B140)/'Données projet'!A140)</f>
        <v>1.1305210406333175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26953125" defaultRowHeight="14.5"/>
  <cols>
    <col min="1" max="1" width="23.269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26953125" style="4" bestFit="1" customWidth="1"/>
    <col min="8" max="8" width="39" style="4" bestFit="1" customWidth="1"/>
    <col min="9" max="9" width="16.7265625" style="4" customWidth="1"/>
    <col min="10" max="14" width="11.26953125" style="4"/>
    <col min="15" max="15" width="23.26953125" style="4" bestFit="1" customWidth="1"/>
    <col min="16" max="16384" width="11.26953125" style="4"/>
  </cols>
  <sheetData>
    <row r="1" spans="1:16" ht="44" thickBot="1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3" t="s">
        <v>114</v>
      </c>
      <c r="P2" s="121">
        <v>0</v>
      </c>
    </row>
    <row r="3" spans="1:16" ht="15" thickBot="1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3" t="s">
        <v>121</v>
      </c>
      <c r="P5" s="121">
        <v>0</v>
      </c>
    </row>
    <row r="6" spans="1:16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3" t="s">
        <v>133</v>
      </c>
      <c r="P10" s="121">
        <v>0</v>
      </c>
    </row>
    <row r="11" spans="1:16" ht="15" thickBot="1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141</v>
      </c>
      <c r="B14" s="123" t="s">
        <v>142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143</v>
      </c>
      <c r="B15" s="123" t="s">
        <v>144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145</v>
      </c>
      <c r="B16" s="123" t="s">
        <v>146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16</v>
      </c>
      <c r="B17" s="123" t="s">
        <v>147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148</v>
      </c>
      <c r="B18" s="123" t="s">
        <v>149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150</v>
      </c>
      <c r="B19" s="123" t="s">
        <v>151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112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156</v>
      </c>
      <c r="B21" s="123" t="s">
        <v>157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158</v>
      </c>
      <c r="B22" s="123" t="s">
        <v>159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160</v>
      </c>
      <c r="B23" s="123" t="s">
        <v>161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162</v>
      </c>
      <c r="B24" s="123" t="s">
        <v>163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164</v>
      </c>
      <c r="B25" s="123" t="s">
        <v>165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166</v>
      </c>
      <c r="B26" s="123" t="s">
        <v>167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169</v>
      </c>
      <c r="B27" s="123" t="s">
        <v>170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19</v>
      </c>
      <c r="B28" s="123" t="s">
        <v>171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172</v>
      </c>
      <c r="B29" s="123" t="s">
        <v>172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173</v>
      </c>
      <c r="B30" s="123" t="s">
        <v>174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71</v>
      </c>
      <c r="B31" s="123" t="s">
        <v>175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176</v>
      </c>
      <c r="B32" s="123" t="s">
        <v>177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179</v>
      </c>
      <c r="B33" s="123" t="s">
        <v>180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112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21</v>
      </c>
      <c r="B35" s="123" t="s">
        <v>185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186</v>
      </c>
      <c r="B36" s="123" t="s">
        <v>187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188</v>
      </c>
      <c r="B37" s="123" t="s">
        <v>189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190</v>
      </c>
      <c r="B38" s="123" t="s">
        <v>191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112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112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112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112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112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112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112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112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112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112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112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112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112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112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112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112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112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112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112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112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112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112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112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218</v>
      </c>
      <c r="B62" s="123" t="s">
        <v>219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220</v>
      </c>
      <c r="B63" s="123" t="s">
        <v>221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223</v>
      </c>
      <c r="B64" s="123" t="s">
        <v>224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225</v>
      </c>
      <c r="B65" s="123" t="s">
        <v>226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227</v>
      </c>
      <c r="B66" s="123" t="s">
        <v>228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229</v>
      </c>
      <c r="B67" s="123" t="s">
        <v>230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231</v>
      </c>
      <c r="B68" s="123" t="s">
        <v>232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233</v>
      </c>
      <c r="B69" s="123" t="s">
        <v>234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235</v>
      </c>
      <c r="B70" s="123" t="s">
        <v>236</v>
      </c>
      <c r="C70" s="124">
        <v>0.48</v>
      </c>
      <c r="D70" s="124" t="s">
        <v>111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112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241</v>
      </c>
      <c r="B72" s="123" t="s">
        <v>242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112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246</v>
      </c>
      <c r="B74" s="123" t="s">
        <v>247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248</v>
      </c>
      <c r="B75" s="123" t="s">
        <v>249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250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>
      <c r="A89" s="133" t="s">
        <v>279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>
      <c r="A93" s="122" t="s">
        <v>72</v>
      </c>
    </row>
    <row r="94" spans="1:14">
      <c r="A94" s="122" t="s">
        <v>73</v>
      </c>
    </row>
    <row r="95" spans="1:14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3" zoomScale="70" zoomScaleNormal="70" workbookViewId="0">
      <selection activeCell="C54" sqref="C54:C67"/>
    </sheetView>
  </sheetViews>
  <sheetFormatPr baseColWidth="10" defaultColWidth="11.26953125" defaultRowHeight="14.5"/>
  <cols>
    <col min="1" max="1" width="11.26953125" style="1"/>
    <col min="2" max="2" width="30.81640625" style="1" bestFit="1" customWidth="1"/>
    <col min="3" max="3" width="18" style="1" bestFit="1" customWidth="1"/>
    <col min="4" max="5" width="11.269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26953125" style="1"/>
    <col min="11" max="11" width="8.81640625" style="1" customWidth="1"/>
    <col min="12" max="12" width="11.26953125" style="1"/>
    <col min="13" max="13" width="21" style="1" customWidth="1"/>
    <col min="14" max="16" width="11.26953125" style="1"/>
    <col min="17" max="17" width="8" style="1" customWidth="1"/>
    <col min="18" max="18" width="11.26953125" style="1"/>
    <col min="19" max="19" width="31" style="1" customWidth="1"/>
    <col min="20" max="20" width="18" style="1" customWidth="1"/>
    <col min="21" max="21" width="16.26953125" style="1" customWidth="1"/>
    <col min="22" max="22" width="17.81640625" style="1" customWidth="1"/>
    <col min="23" max="16384" width="11.269531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>
      <c r="A2" s="4"/>
      <c r="B2" s="274" t="s">
        <v>292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64" t="s">
        <v>293</v>
      </c>
      <c r="I4" s="264"/>
      <c r="K4" s="286" t="s">
        <v>294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296" t="s">
        <v>295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1079.0255834450923</v>
      </c>
      <c r="U10" s="178">
        <f>'Données projet'!D9</f>
        <v>6.7649999999999997</v>
      </c>
      <c r="V10" s="177">
        <f>U10*T10</f>
        <v>7299.608072006049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869.97287405623592</v>
      </c>
      <c r="U11" s="178">
        <f>'Données projet'!D10</f>
        <v>1.353</v>
      </c>
      <c r="V11" s="177">
        <f t="shared" ref="V11" si="0">U11*T11</f>
        <v>1177.0732985980871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892.347626011491</v>
      </c>
      <c r="U12" s="178">
        <f>'Données projet'!D11</f>
        <v>0.90200000000000002</v>
      </c>
      <c r="V12" s="177">
        <f t="shared" ref="V12:V19" si="1">U12*T12</f>
        <v>804.89755866236487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76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289" t="s">
        <v>307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89"/>
      <c r="H16" s="190"/>
      <c r="I16" s="191"/>
      <c r="J16" s="202"/>
      <c r="K16" s="208"/>
      <c r="L16" s="286" t="s">
        <v>312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61" t="s">
        <v>313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61" t="s">
        <v>309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76</v>
      </c>
      <c r="I19" s="212" t="s">
        <v>314</v>
      </c>
      <c r="J19" s="93"/>
      <c r="K19" s="173"/>
      <c r="L19" s="286" t="s">
        <v>315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3768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2</v>
      </c>
      <c r="I21" s="191">
        <v>375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3</v>
      </c>
      <c r="I22" s="191">
        <v>375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34</v>
      </c>
      <c r="B23" s="181">
        <f>'Données projet'!D36</f>
        <v>36.679999999999978</v>
      </c>
      <c r="C23" s="193">
        <v>8</v>
      </c>
      <c r="D23" s="182">
        <f>B23*C23</f>
        <v>293.43999999999983</v>
      </c>
      <c r="E23" s="193">
        <v>60</v>
      </c>
      <c r="F23" s="230"/>
      <c r="H23" s="190">
        <v>4</v>
      </c>
      <c r="I23" s="191">
        <v>375</v>
      </c>
      <c r="K23" s="208"/>
      <c r="L23" s="288" t="s">
        <v>316</v>
      </c>
      <c r="M23" s="288"/>
      <c r="N23" s="288"/>
      <c r="O23" s="23"/>
      <c r="P23" s="23"/>
      <c r="Q23" s="234"/>
      <c r="R23" s="23"/>
      <c r="S23" s="36" t="s">
        <v>317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-32140.17411239793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42</v>
      </c>
      <c r="B24" s="181">
        <f>'Données projet'!D37</f>
        <v>58.099999999999994</v>
      </c>
      <c r="C24" s="193">
        <v>8</v>
      </c>
      <c r="D24" s="182">
        <f t="shared" ref="D24:D42" si="2">B24*C24</f>
        <v>464.79999999999995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50</v>
      </c>
      <c r="B25" s="181">
        <f>'Données projet'!D38</f>
        <v>70.730000000000018</v>
      </c>
      <c r="C25" s="193">
        <v>8</v>
      </c>
      <c r="D25" s="182">
        <f t="shared" si="2"/>
        <v>565.84000000000015</v>
      </c>
      <c r="E25" s="193">
        <v>60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>
        <v>0</v>
      </c>
      <c r="Q25" s="234"/>
      <c r="R25" s="23"/>
      <c r="S25" s="186" t="s">
        <v>320</v>
      </c>
      <c r="T25" s="303">
        <f ca="1">T23-T24</f>
        <v>-32140.17411239793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58</v>
      </c>
      <c r="B26" s="181">
        <f>'Données projet'!D39</f>
        <v>65.819999999999993</v>
      </c>
      <c r="C26" s="193">
        <v>36.299999999999997</v>
      </c>
      <c r="D26" s="182">
        <f t="shared" si="2"/>
        <v>2389.2659999999996</v>
      </c>
      <c r="E26" s="193">
        <v>60</v>
      </c>
      <c r="F26" s="233"/>
      <c r="G26" s="229"/>
      <c r="H26" s="190"/>
      <c r="I26" s="191"/>
      <c r="K26" s="208"/>
      <c r="L26" s="290" t="s">
        <v>321</v>
      </c>
      <c r="M26" s="291"/>
      <c r="N26" s="291"/>
      <c r="O26" s="291"/>
      <c r="P26" s="292"/>
      <c r="Q26" s="234"/>
      <c r="R26" s="23"/>
      <c r="S26" s="186" t="s">
        <v>322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66</v>
      </c>
      <c r="B27" s="181">
        <f>'Données projet'!D40</f>
        <v>76.480000000000018</v>
      </c>
      <c r="C27" s="193">
        <v>36.299999999999997</v>
      </c>
      <c r="D27" s="182">
        <f t="shared" si="2"/>
        <v>2776.2240000000006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323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74</v>
      </c>
      <c r="B28" s="181">
        <f>'Données projet'!D41</f>
        <v>75.29000000000002</v>
      </c>
      <c r="C28" s="193">
        <v>36.299999999999997</v>
      </c>
      <c r="D28" s="182">
        <f t="shared" si="2"/>
        <v>2733.0270000000005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82</v>
      </c>
      <c r="B29" s="181">
        <f>'Données projet'!D42</f>
        <v>58.140000000000043</v>
      </c>
      <c r="C29" s="193">
        <v>36.299999999999997</v>
      </c>
      <c r="D29" s="182">
        <f t="shared" si="2"/>
        <v>2110.4820000000013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90</v>
      </c>
      <c r="B30" s="181">
        <f>'Données projet'!D43</f>
        <v>68.54000000000002</v>
      </c>
      <c r="C30" s="193">
        <v>36.299999999999997</v>
      </c>
      <c r="D30" s="182">
        <f t="shared" si="2"/>
        <v>2488.0020000000004</v>
      </c>
      <c r="E30" s="193">
        <v>60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100</v>
      </c>
      <c r="B31" s="181">
        <f>'Données projet'!D44</f>
        <v>93.039999999999964</v>
      </c>
      <c r="C31" s="193">
        <v>110.4</v>
      </c>
      <c r="D31" s="182">
        <f t="shared" si="2"/>
        <v>10271.615999999996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110</v>
      </c>
      <c r="B32" s="181">
        <f>'Données projet'!D45</f>
        <v>73.299999999999955</v>
      </c>
      <c r="C32" s="193">
        <v>110.4</v>
      </c>
      <c r="D32" s="182">
        <f t="shared" si="2"/>
        <v>8092.3199999999952</v>
      </c>
      <c r="E32" s="193">
        <v>60</v>
      </c>
      <c r="F32" s="233"/>
      <c r="G32" s="203"/>
      <c r="H32" s="190"/>
      <c r="I32" s="191"/>
      <c r="K32" s="173"/>
      <c r="N32" s="4"/>
      <c r="O32" s="85" t="s">
        <v>76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120</v>
      </c>
      <c r="B33" s="181">
        <f>'Données projet'!D46</f>
        <v>66.050000000000011</v>
      </c>
      <c r="C33" s="193">
        <v>110.4</v>
      </c>
      <c r="D33" s="182">
        <f t="shared" si="2"/>
        <v>7291.9200000000019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130</v>
      </c>
      <c r="B34" s="181">
        <f>'Données projet'!D47</f>
        <v>75.799999999999955</v>
      </c>
      <c r="C34" s="193">
        <v>110.4</v>
      </c>
      <c r="D34" s="182">
        <f t="shared" si="2"/>
        <v>8368.3199999999961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140</v>
      </c>
      <c r="B35" s="181">
        <f>'Données projet'!D48</f>
        <v>74.669999999999959</v>
      </c>
      <c r="C35" s="193">
        <v>110.4</v>
      </c>
      <c r="D35" s="182">
        <f t="shared" si="2"/>
        <v>8243.5679999999957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150</v>
      </c>
      <c r="B36" s="181">
        <f>'Données projet'!D49</f>
        <v>259.52</v>
      </c>
      <c r="C36" s="193">
        <v>125.1</v>
      </c>
      <c r="D36" s="182">
        <f t="shared" si="2"/>
        <v>32465.951999999997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153</v>
      </c>
      <c r="B37" s="181">
        <f>'Données projet'!D50</f>
        <v>156.29000000000002</v>
      </c>
      <c r="C37" s="193">
        <v>125.1</v>
      </c>
      <c r="D37" s="182">
        <f t="shared" si="2"/>
        <v>19551.879000000001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156</v>
      </c>
      <c r="B38" s="181">
        <f>'Données projet'!D51</f>
        <v>96.65</v>
      </c>
      <c r="C38" s="193">
        <v>125.1</v>
      </c>
      <c r="D38" s="182">
        <f t="shared" si="2"/>
        <v>12090.915000000001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159</v>
      </c>
      <c r="B39" s="181">
        <f>'Données projet'!D52</f>
        <v>201.48</v>
      </c>
      <c r="C39" s="193">
        <v>125.1</v>
      </c>
      <c r="D39" s="182">
        <f t="shared" si="2"/>
        <v>25205.147999999997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15</v>
      </c>
      <c r="B54" s="181">
        <f>'Données projet'!D62</f>
        <v>32</v>
      </c>
      <c r="C54" s="191">
        <v>8</v>
      </c>
      <c r="D54" s="179">
        <f>B54*C54</f>
        <v>256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20</v>
      </c>
      <c r="B55" s="181">
        <f>'Données projet'!D63</f>
        <v>35</v>
      </c>
      <c r="C55" s="191">
        <v>8</v>
      </c>
      <c r="D55" s="179">
        <f t="shared" ref="D55:D73" si="4">B55*C55</f>
        <v>280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25</v>
      </c>
      <c r="B56" s="181">
        <f>'Données projet'!D64</f>
        <v>35</v>
      </c>
      <c r="C56" s="191">
        <v>8</v>
      </c>
      <c r="D56" s="179">
        <f t="shared" si="4"/>
        <v>280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30</v>
      </c>
      <c r="B57" s="181">
        <f>'Données projet'!D65</f>
        <v>35</v>
      </c>
      <c r="C57" s="191">
        <v>14.5</v>
      </c>
      <c r="D57" s="179">
        <f t="shared" ref="D57:D66" si="5">B57*C57</f>
        <v>507.5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35</v>
      </c>
      <c r="B58" s="181">
        <f>'Données projet'!D66</f>
        <v>35</v>
      </c>
      <c r="C58" s="191">
        <v>14.5</v>
      </c>
      <c r="D58" s="179">
        <f t="shared" si="5"/>
        <v>507.5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40</v>
      </c>
      <c r="B59" s="181">
        <f>'Données projet'!D67</f>
        <v>35</v>
      </c>
      <c r="C59" s="191">
        <v>14.5</v>
      </c>
      <c r="D59" s="179">
        <f t="shared" si="5"/>
        <v>507.5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45</v>
      </c>
      <c r="B60" s="181">
        <f>'Données projet'!D68</f>
        <v>24</v>
      </c>
      <c r="C60" s="191">
        <v>14.5</v>
      </c>
      <c r="D60" s="179">
        <f t="shared" si="5"/>
        <v>348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50</v>
      </c>
      <c r="B61" s="181">
        <f>'Données projet'!D69</f>
        <v>19</v>
      </c>
      <c r="C61" s="191">
        <v>14.5</v>
      </c>
      <c r="D61" s="179">
        <f t="shared" si="5"/>
        <v>275.5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55</v>
      </c>
      <c r="B62" s="181">
        <f>'Données projet'!D70</f>
        <v>16</v>
      </c>
      <c r="C62" s="191">
        <v>25.75</v>
      </c>
      <c r="D62" s="179">
        <f t="shared" si="5"/>
        <v>412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60</v>
      </c>
      <c r="B63" s="181">
        <f>'Données projet'!D71</f>
        <v>14</v>
      </c>
      <c r="C63" s="191">
        <v>25.75</v>
      </c>
      <c r="D63" s="179">
        <f t="shared" si="5"/>
        <v>360.5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65</v>
      </c>
      <c r="B64" s="181">
        <f>'Données projet'!D72</f>
        <v>13</v>
      </c>
      <c r="C64" s="191">
        <v>25.75</v>
      </c>
      <c r="D64" s="179">
        <f t="shared" si="5"/>
        <v>334.75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70</v>
      </c>
      <c r="B65" s="181">
        <f>'Données projet'!D73</f>
        <v>13</v>
      </c>
      <c r="C65" s="191">
        <v>25.75</v>
      </c>
      <c r="D65" s="179">
        <f t="shared" si="5"/>
        <v>334.75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75</v>
      </c>
      <c r="B66" s="181">
        <f>'Données projet'!D74</f>
        <v>12</v>
      </c>
      <c r="C66" s="191">
        <v>25.75</v>
      </c>
      <c r="D66" s="179">
        <f t="shared" si="5"/>
        <v>309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80</v>
      </c>
      <c r="B67" s="181">
        <f>'Données projet'!D75</f>
        <v>330</v>
      </c>
      <c r="C67" s="191">
        <v>25.75</v>
      </c>
      <c r="D67" s="179">
        <f t="shared" si="4"/>
        <v>8497.5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15</v>
      </c>
      <c r="B85" s="181">
        <f>'Données projet'!D88</f>
        <v>3</v>
      </c>
      <c r="C85" s="191">
        <v>8</v>
      </c>
      <c r="D85" s="179">
        <f>B85*C85</f>
        <v>24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20</v>
      </c>
      <c r="B86" s="181">
        <f>'Données projet'!D89</f>
        <v>25</v>
      </c>
      <c r="C86" s="191">
        <v>8</v>
      </c>
      <c r="D86" s="179">
        <f t="shared" ref="D86:D104" si="7">B86*C86</f>
        <v>200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25</v>
      </c>
      <c r="B87" s="181">
        <f>'Données projet'!D90</f>
        <v>27</v>
      </c>
      <c r="C87" s="191">
        <v>8</v>
      </c>
      <c r="D87" s="179">
        <f t="shared" si="7"/>
        <v>216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31</v>
      </c>
      <c r="B88" s="181">
        <f>'Données projet'!D91</f>
        <v>36</v>
      </c>
      <c r="C88" s="191">
        <v>14.5</v>
      </c>
      <c r="D88" s="179">
        <f t="shared" si="7"/>
        <v>522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37</v>
      </c>
      <c r="B89" s="181">
        <f>'Données projet'!D92</f>
        <v>36</v>
      </c>
      <c r="C89" s="191">
        <v>14.5</v>
      </c>
      <c r="D89" s="179">
        <f t="shared" si="7"/>
        <v>522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44</v>
      </c>
      <c r="B90" s="181">
        <f>'Données projet'!D93</f>
        <v>43</v>
      </c>
      <c r="C90" s="191">
        <v>14.5</v>
      </c>
      <c r="D90" s="179">
        <f t="shared" si="7"/>
        <v>623.5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52</v>
      </c>
      <c r="B91" s="181">
        <f>'Données projet'!D94</f>
        <v>48</v>
      </c>
      <c r="C91" s="191">
        <v>14.5</v>
      </c>
      <c r="D91" s="179">
        <f t="shared" si="7"/>
        <v>696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60</v>
      </c>
      <c r="B92" s="181">
        <f>'Données projet'!D95</f>
        <v>47</v>
      </c>
      <c r="C92" s="191">
        <v>14.5</v>
      </c>
      <c r="D92" s="179">
        <f t="shared" si="7"/>
        <v>681.5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69</v>
      </c>
      <c r="B93" s="181">
        <f>'Données projet'!D96</f>
        <v>328</v>
      </c>
      <c r="C93" s="191">
        <v>25.75</v>
      </c>
      <c r="D93" s="179">
        <f t="shared" si="7"/>
        <v>8446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>
        <v>25.75</v>
      </c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6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>
        <v>25.75</v>
      </c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6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>
        <v>25.75</v>
      </c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6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>
        <v>25.75</v>
      </c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8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>
        <v>25.75</v>
      </c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8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8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8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8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8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15</v>
      </c>
      <c r="B116" s="181">
        <f>'Données projet'!D114</f>
        <v>3</v>
      </c>
      <c r="C116" s="191">
        <v>5</v>
      </c>
      <c r="D116" s="179">
        <f>B116*C116</f>
        <v>15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20</v>
      </c>
      <c r="B117" s="181">
        <f>'Données projet'!D115</f>
        <v>25</v>
      </c>
      <c r="C117" s="191">
        <v>5</v>
      </c>
      <c r="D117" s="179">
        <f t="shared" ref="D117:D135" si="9">B117*C117</f>
        <v>125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25</v>
      </c>
      <c r="B118" s="181">
        <f>'Données projet'!D116</f>
        <v>27</v>
      </c>
      <c r="C118" s="191">
        <v>5</v>
      </c>
      <c r="D118" s="179">
        <f t="shared" si="9"/>
        <v>135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31</v>
      </c>
      <c r="B119" s="181">
        <f>'Données projet'!D117</f>
        <v>36</v>
      </c>
      <c r="C119" s="191">
        <v>20</v>
      </c>
      <c r="D119" s="179">
        <f t="shared" si="9"/>
        <v>720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37</v>
      </c>
      <c r="B120" s="181">
        <f>'Données projet'!D118</f>
        <v>36</v>
      </c>
      <c r="C120" s="191">
        <v>20</v>
      </c>
      <c r="D120" s="179">
        <f t="shared" si="9"/>
        <v>720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44</v>
      </c>
      <c r="B121" s="181">
        <f>'Données projet'!D119</f>
        <v>43</v>
      </c>
      <c r="C121" s="191">
        <v>20</v>
      </c>
      <c r="D121" s="179">
        <f t="shared" si="9"/>
        <v>860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52</v>
      </c>
      <c r="B122" s="181">
        <f>'Données projet'!D120</f>
        <v>48</v>
      </c>
      <c r="C122" s="191">
        <v>20</v>
      </c>
      <c r="D122" s="179">
        <f t="shared" si="9"/>
        <v>960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60</v>
      </c>
      <c r="B123" s="181">
        <f>'Données projet'!D121</f>
        <v>47</v>
      </c>
      <c r="C123" s="191">
        <v>20</v>
      </c>
      <c r="D123" s="179">
        <f t="shared" si="9"/>
        <v>940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69</v>
      </c>
      <c r="B124" s="181">
        <f>'Données projet'!D122</f>
        <v>328</v>
      </c>
      <c r="C124" s="191">
        <v>100</v>
      </c>
      <c r="D124" s="179">
        <f t="shared" si="9"/>
        <v>32800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36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44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52</v>
      </c>
      <c r="B149" s="175">
        <f>'Données projet'!D142</f>
        <v>29</v>
      </c>
      <c r="C149" s="191">
        <v>5</v>
      </c>
      <c r="D149" s="182">
        <f t="shared" si="11"/>
        <v>145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60</v>
      </c>
      <c r="B150" s="175">
        <f>'Données projet'!D143</f>
        <v>30</v>
      </c>
      <c r="C150" s="191">
        <v>5</v>
      </c>
      <c r="D150" s="182">
        <f t="shared" si="11"/>
        <v>150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68</v>
      </c>
      <c r="B151" s="175">
        <f>'Données projet'!D144</f>
        <v>31</v>
      </c>
      <c r="C151" s="191">
        <v>5</v>
      </c>
      <c r="D151" s="182">
        <f t="shared" si="11"/>
        <v>155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78</v>
      </c>
      <c r="B152" s="175">
        <f>'Données projet'!D145</f>
        <v>32</v>
      </c>
      <c r="C152" s="191">
        <v>20</v>
      </c>
      <c r="D152" s="182">
        <f t="shared" si="11"/>
        <v>640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88</v>
      </c>
      <c r="B153" s="175">
        <f>'Données projet'!D146</f>
        <v>35</v>
      </c>
      <c r="C153" s="191">
        <v>150</v>
      </c>
      <c r="D153" s="182">
        <f t="shared" si="11"/>
        <v>5250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98</v>
      </c>
      <c r="B154" s="175">
        <f>'Données projet'!D147</f>
        <v>34</v>
      </c>
      <c r="C154" s="191">
        <v>150</v>
      </c>
      <c r="D154" s="182">
        <f t="shared" si="11"/>
        <v>5100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108</v>
      </c>
      <c r="B155" s="175">
        <f>'Données projet'!D148</f>
        <v>39</v>
      </c>
      <c r="C155" s="191">
        <v>150</v>
      </c>
      <c r="D155" s="182">
        <f t="shared" si="11"/>
        <v>5850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118</v>
      </c>
      <c r="B156" s="175">
        <f>'Données projet'!D149</f>
        <v>40</v>
      </c>
      <c r="C156" s="191">
        <v>150</v>
      </c>
      <c r="D156" s="182">
        <f t="shared" si="11"/>
        <v>6000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128</v>
      </c>
      <c r="B157" s="175">
        <f>'Données projet'!D150</f>
        <v>39</v>
      </c>
      <c r="C157" s="191">
        <v>150</v>
      </c>
      <c r="D157" s="182">
        <f t="shared" si="11"/>
        <v>5850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138</v>
      </c>
      <c r="B158" s="175">
        <f>'Données projet'!D151</f>
        <v>39</v>
      </c>
      <c r="C158" s="191">
        <v>150</v>
      </c>
      <c r="D158" s="182">
        <f t="shared" si="11"/>
        <v>5850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148</v>
      </c>
      <c r="B159" s="175">
        <f>'Données projet'!D152</f>
        <v>41</v>
      </c>
      <c r="C159" s="191">
        <v>150</v>
      </c>
      <c r="D159" s="182">
        <f t="shared" si="11"/>
        <v>6150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185</v>
      </c>
      <c r="B160" s="175">
        <f>'Données projet'!D153</f>
        <v>41</v>
      </c>
      <c r="C160" s="191">
        <v>150</v>
      </c>
      <c r="D160" s="182">
        <f t="shared" si="11"/>
        <v>6150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168</v>
      </c>
      <c r="B161" s="175">
        <f>'Données projet'!D154</f>
        <v>41</v>
      </c>
      <c r="C161" s="191">
        <v>150</v>
      </c>
      <c r="D161" s="182">
        <f t="shared" si="11"/>
        <v>6150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180</v>
      </c>
      <c r="B162" s="175">
        <f>'Données projet'!D155</f>
        <v>368</v>
      </c>
      <c r="C162" s="191">
        <v>200</v>
      </c>
      <c r="D162" s="182">
        <f t="shared" si="11"/>
        <v>73600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3" zoomScale="85" zoomScaleNormal="85" workbookViewId="0">
      <selection activeCell="N9" sqref="N9"/>
    </sheetView>
  </sheetViews>
  <sheetFormatPr baseColWidth="10" defaultColWidth="11.26953125" defaultRowHeight="14.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26953125" style="1" bestFit="1" customWidth="1"/>
    <col min="5" max="8" width="11.26953125" style="1"/>
    <col min="9" max="13" width="11.26953125" style="62"/>
    <col min="14" max="15" width="11.26953125" style="1"/>
    <col min="16" max="17" width="13.26953125" style="1" customWidth="1"/>
    <col min="18" max="16384" width="11.269531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>
      <c r="A2" s="274" t="s">
        <v>280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Chêne sessile</v>
      </c>
      <c r="B6" s="146">
        <f>'Données projet'!D9</f>
        <v>6.7649999999999997</v>
      </c>
      <c r="C6" s="147">
        <f ca="1">IF(OR('Données projet'!B9="",'Données projet'!C9="",'Données projet'!C9=0%),0,Calculateur!S3)</f>
        <v>737.40414421611001</v>
      </c>
      <c r="D6" s="147">
        <f>IF(OR('Données projet'!B9="",'Données projet'!C9="",'Données projet'!C9=0%),0,Calculateur!T3)</f>
        <v>245.32893490531674</v>
      </c>
      <c r="E6" s="147">
        <f ca="1">MIN(C6,D6)</f>
        <v>245.32893490531674</v>
      </c>
      <c r="F6" s="147">
        <f ca="1">E6*B6</f>
        <v>1659.6502446344678</v>
      </c>
      <c r="G6" s="147">
        <f ca="1">F6*(100%-'Données projet'!$C$24)*(100%-'Données projet'!$C$25)*(100%-'Données projet'!$C$26)*(100%-'Données projet'!$C$27)</f>
        <v>1344.3166981539189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1344.3166981539189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Erable sycomore</v>
      </c>
      <c r="B7" s="154">
        <f>'Données projet'!D10</f>
        <v>1.353</v>
      </c>
      <c r="C7" s="147">
        <f ca="1">IF(OR('Données projet'!B10="",'Données projet'!C10="",'Données projet'!C10=0%),0,Calculateur!AN3)</f>
        <v>377.28055430105911</v>
      </c>
      <c r="D7" s="147">
        <f>IF(OR('Données projet'!B10="",'Données projet'!C10="",'Données projet'!C10=0%),0,Calculateur!AO3)</f>
        <v>364.58250627635425</v>
      </c>
      <c r="E7" s="147">
        <f t="shared" ref="E7:E15" ca="1" si="0">MIN(C7,D7)</f>
        <v>364.58250627635425</v>
      </c>
      <c r="F7" s="147">
        <f t="shared" ref="F7:F15" ca="1" si="1">E7*B7</f>
        <v>493.2801309919073</v>
      </c>
      <c r="G7" s="147">
        <f ca="1">F7*(100%-'Données projet'!$C$24)*(100%-'Données projet'!$C$25)*(100%-'Données projet'!$C$26)*(100%-'Données projet'!$C$27)</f>
        <v>399.55690610344493</v>
      </c>
      <c r="H7" s="155">
        <f>IF(OR('Données projet'!B10="",'Données projet'!C10="",'Données projet'!C10=0%),0,AVERAGE(Calculateur!$AX$3:$AX$33)*B7)</f>
        <v>8.1694040876051304</v>
      </c>
      <c r="I7" s="149">
        <f>H7*(100%-'Données projet'!$C$24)*(100%-'Données projet'!$C$25)*(100%-'Données projet'!$C$26)*(100%-'Données projet'!$C$27)</f>
        <v>6.6172173109601555</v>
      </c>
      <c r="J7" s="150">
        <f>IF(OR('Données projet'!B10="",'Données projet'!C10="",'Données projet'!C10=0%),0,SUM(Calculateur!$AQ$3:$AQ$33)*VLOOKUP('Données projet'!$B$10,Paramètres!$A$1:$I$89,9,0)*B7)</f>
        <v>46.340249999999997</v>
      </c>
      <c r="K7" s="151">
        <f>J7*(100%-'Données projet'!$C$24)*(100%-'Données projet'!$C$25)*(100%-'Données projet'!$C$26)*(100%-'Données projet'!$C$27)</f>
        <v>37.535602499999996</v>
      </c>
      <c r="L7" s="152">
        <f t="shared" ref="L7:L15" ca="1" si="2">G7+I7+K7</f>
        <v>443.70972591440506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Merisier</v>
      </c>
      <c r="B8" s="154">
        <f>'Données projet'!D11</f>
        <v>0.90200000000000002</v>
      </c>
      <c r="C8" s="147">
        <f ca="1">IF(OR('Données projet'!B11="",'Données projet'!C11="",'Données projet'!C11=0%),0,Calculateur!BI3)</f>
        <v>308.85018589589453</v>
      </c>
      <c r="D8" s="147">
        <f>IF(OR('Données projet'!B11="",'Données projet'!C11="",'Données projet'!C11=0%),0,Calculateur!BJ3)</f>
        <v>302.59481222418219</v>
      </c>
      <c r="E8" s="147">
        <f t="shared" ca="1" si="0"/>
        <v>302.59481222418219</v>
      </c>
      <c r="F8" s="147">
        <f t="shared" ca="1" si="1"/>
        <v>272.94052062621233</v>
      </c>
      <c r="G8" s="147">
        <f ca="1">F8*(100%-'Données projet'!$C$24)*(100%-'Données projet'!$C$25)*(100%-'Données projet'!$C$26)*(100%-'Données projet'!$C$27)</f>
        <v>221.081821707232</v>
      </c>
      <c r="H8" s="155">
        <f>IF(OR('Données projet'!B11="",'Données projet'!C11="",'Données projet'!C11=0%),0,AVERAGE(Calculateur!$BS$3:$BS$33)*B8)</f>
        <v>2.0910167068904348</v>
      </c>
      <c r="I8" s="149">
        <f>H8*(100%-'Données projet'!$C$24)*(100%-'Données projet'!$C$25)*(100%-'Données projet'!$C$26)*(100%-'Données projet'!$C$27)</f>
        <v>1.6937235325812523</v>
      </c>
      <c r="J8" s="150">
        <f>IF(OR('Données projet'!B11="",'Données projet'!C11="",'Données projet'!C11=0%),0,SUM(Calculateur!$BL$3:$BL$33)*VLOOKUP('Données projet'!$B$11,Paramètres!$A$1:$I$89,9,0)*B8)</f>
        <v>12.4025</v>
      </c>
      <c r="K8" s="151">
        <f>J8*(100%-'Données projet'!$C$24)*(100%-'Données projet'!$C$25)*(100%-'Données projet'!$C$26)*(100%-'Données projet'!$C$27)</f>
        <v>10.046025</v>
      </c>
      <c r="L8" s="152">
        <f t="shared" ca="1" si="2"/>
        <v>232.82157023981324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2425.8708962525875</v>
      </c>
      <c r="G16" s="166">
        <f t="shared" ca="1" si="3"/>
        <v>1964.9554259645956</v>
      </c>
      <c r="H16" s="167">
        <f t="shared" si="3"/>
        <v>10.260420794495566</v>
      </c>
      <c r="I16" s="167">
        <f t="shared" si="3"/>
        <v>8.3109408435414078</v>
      </c>
      <c r="J16" s="168">
        <f t="shared" si="3"/>
        <v>58.742750000000001</v>
      </c>
      <c r="K16" s="168">
        <f t="shared" si="3"/>
        <v>47.581627499999996</v>
      </c>
      <c r="L16" s="169">
        <f t="shared" ca="1" si="3"/>
        <v>2020.847994308137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304" t="s">
        <v>291</v>
      </c>
      <c r="G17" s="305"/>
      <c r="H17" s="305"/>
      <c r="I17" s="305"/>
      <c r="J17" s="305"/>
      <c r="K17" s="305"/>
      <c r="L17" s="30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3" ma:contentTypeDescription="Create a new document." ma:contentTypeScope="" ma:versionID="25371aabeda3acd01862d33b55232c08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306a45991ede4ccc2d4bf1522a3a21d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C1F2F4-0D17-4A27-80DB-0414F5CEA9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6B6CD2-7A8F-4C52-8A38-A6BCE8625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10000A-9EC7-4968-AD8B-3517D31CADEE}">
  <ds:schemaRefs>
    <ds:schemaRef ds:uri="http://schemas.microsoft.com/office/2006/documentManagement/types"/>
    <ds:schemaRef ds:uri="e2382d34-9bb8-44b7-b653-fe70b92f328c"/>
    <ds:schemaRef ds:uri="http://schemas.openxmlformats.org/package/2006/metadata/core-properties"/>
    <ds:schemaRef ds:uri="0b31a522-a3bf-48c4-bec5-a17f159ba481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VAN</vt:lpstr>
      <vt:lpstr>REE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Ellens Lucas</cp:lastModifiedBy>
  <cp:revision/>
  <dcterms:created xsi:type="dcterms:W3CDTF">2021-02-01T08:22:39Z</dcterms:created>
  <dcterms:modified xsi:type="dcterms:W3CDTF">2023-03-06T16:05:41Z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1956600</vt:r8>
  </property>
  <property fmtid="{D5CDD505-2E9C-101B-9397-08002B2CF9AE}" pid="4" name="MediaServiceImageTags">
    <vt:lpwstr/>
  </property>
</Properties>
</file>