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/Documents partages/Fransylva Services/LBC/Dossiers LBC/DE LAVERGNEE 25 - 30 - 33/DE ROQUEFEUIL - 8858833/"/>
    </mc:Choice>
  </mc:AlternateContent>
  <xr:revisionPtr revIDLastSave="3" documentId="13_ncr:1_{08AAF0F2-359C-45C3-889C-A2E7E85EF54B}" xr6:coauthVersionLast="47" xr6:coauthVersionMax="47" xr10:uidLastSave="{C827EB21-E350-4F28-A80D-F187CF11D5DA}"/>
  <bookViews>
    <workbookView xWindow="-45" yWindow="60" windowWidth="21600" windowHeight="11235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I22" i="6"/>
  <c r="I23" i="6"/>
  <c r="I24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HI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G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HH140" i="2"/>
  <c r="EC140" i="2"/>
  <c r="HG140" i="2"/>
  <c r="EB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A155" i="2"/>
  <c r="HH155" i="2"/>
  <c r="DI154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EX156" i="2"/>
  <c r="EB156" i="2"/>
  <c r="HH156" i="2"/>
  <c r="DH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C158" i="2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A159" i="2"/>
  <c r="HH159" i="2"/>
  <c r="EC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FS160" i="2"/>
  <c r="EY159" i="2"/>
  <c r="ED159" i="2"/>
  <c r="D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FS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HH164" i="2"/>
  <c r="FS164" i="2"/>
  <c r="DH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HH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C167" i="2"/>
  <c r="HI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HI168" i="2"/>
  <c r="EW168" i="2"/>
  <c r="DI167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A172" i="2"/>
  <c r="HI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J172" i="2"/>
  <c r="HH173" i="2"/>
  <c r="EX173" i="2"/>
  <c r="ED172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EA175" i="2"/>
  <c r="EB175" i="2"/>
  <c r="A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EC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FS178" i="2"/>
  <c r="FQ178" i="2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DF179" i="2"/>
  <c r="EA179" i="2"/>
  <c r="EB179" i="2"/>
  <c r="HI179" i="2"/>
  <c r="EV179" i="2"/>
  <c r="EY179" i="2" s="1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B185" i="2"/>
  <c r="HH185" i="2"/>
  <c r="HG185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A186" i="2"/>
  <c r="HG186" i="2"/>
  <c r="FS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FQ193" i="2"/>
  <c r="EA193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A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X195" i="2"/>
  <c r="EY194" i="2"/>
  <c r="HG195" i="2"/>
  <c r="EA195" i="2"/>
  <c r="DH195" i="2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HH197" i="2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HG199" i="2"/>
  <c r="HJ199" i="2" s="1"/>
  <c r="HH199" i="2"/>
  <c r="FS199" i="2"/>
  <c r="EB199" i="2"/>
  <c r="EA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G201" i="2" l="1"/>
  <c r="ED200" i="2"/>
  <c r="DI200" i="2"/>
  <c r="HH201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HG202" i="2"/>
  <c r="FZ6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H203" i="2" l="1"/>
  <c r="BP203" i="2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AN89" i="2" l="1"/>
  <c r="AN100" i="2"/>
  <c r="AN108" i="2"/>
  <c r="AN50" i="2"/>
  <c r="AN3" i="2"/>
  <c r="C7" i="4" s="1"/>
  <c r="E7" i="4" s="1"/>
  <c r="F7" i="4" s="1"/>
  <c r="G7" i="4" s="1"/>
  <c r="L7" i="4" s="1"/>
  <c r="AN88" i="2"/>
  <c r="AN62" i="2"/>
  <c r="AN51" i="2"/>
  <c r="AN91" i="2"/>
  <c r="AN107" i="2"/>
  <c r="AN13" i="2"/>
  <c r="AN139" i="2"/>
  <c r="AN31" i="2"/>
  <c r="AN202" i="2"/>
  <c r="AN190" i="2"/>
  <c r="AN47" i="2"/>
  <c r="AN73" i="2"/>
  <c r="AN85" i="2"/>
  <c r="AN110" i="2"/>
  <c r="AN60" i="2"/>
  <c r="AN40" i="2"/>
  <c r="AN27" i="2"/>
  <c r="AN18" i="2"/>
  <c r="AN153" i="2"/>
  <c r="AN106" i="2"/>
  <c r="AN129" i="2"/>
  <c r="AN21" i="2"/>
  <c r="AN183" i="2"/>
  <c r="AN162" i="2"/>
  <c r="AN187" i="2"/>
  <c r="AN177" i="2"/>
  <c r="AN72" i="2"/>
  <c r="AN6" i="2"/>
  <c r="AN193" i="2"/>
  <c r="AN149" i="2"/>
  <c r="AN128" i="2"/>
  <c r="AN192" i="2"/>
  <c r="AN83" i="2"/>
  <c r="AN77" i="2"/>
  <c r="AN22" i="2"/>
  <c r="AN19" i="2"/>
  <c r="AN143" i="2"/>
  <c r="AN4" i="2"/>
  <c r="AN146" i="2"/>
  <c r="AN127" i="2"/>
  <c r="AN163" i="2"/>
  <c r="AN29" i="2"/>
  <c r="AN63" i="2"/>
  <c r="AN185" i="2"/>
  <c r="AN41" i="2"/>
  <c r="AN138" i="2"/>
  <c r="AN45" i="2"/>
  <c r="AN130" i="2"/>
  <c r="AN79" i="2"/>
  <c r="AN201" i="2"/>
  <c r="AN69" i="2"/>
  <c r="AN150" i="2"/>
  <c r="AN152" i="2"/>
  <c r="AN160" i="2"/>
  <c r="AN10" i="2"/>
  <c r="AN20" i="2"/>
  <c r="AN61" i="2"/>
  <c r="AN37" i="2"/>
  <c r="AN111" i="2"/>
  <c r="AN33" i="2"/>
  <c r="AN195" i="2"/>
  <c r="AN102" i="2"/>
  <c r="AN24" i="2"/>
  <c r="AN140" i="2"/>
  <c r="AN36" i="2"/>
  <c r="AN82" i="2"/>
  <c r="AN48" i="2"/>
  <c r="AN75" i="2"/>
  <c r="AN191" i="2"/>
  <c r="AN203" i="2"/>
  <c r="AN145" i="2"/>
  <c r="AN182" i="2"/>
  <c r="AN133" i="2"/>
  <c r="AN90" i="2"/>
  <c r="AN165" i="2"/>
  <c r="AN81" i="2"/>
  <c r="AN196" i="2"/>
  <c r="AN141" i="2"/>
  <c r="AN137" i="2"/>
  <c r="AN121" i="2"/>
  <c r="AN104" i="2"/>
  <c r="AN122" i="2"/>
  <c r="AN135" i="2"/>
  <c r="AN173" i="2"/>
  <c r="AN198" i="2"/>
  <c r="AN52" i="2"/>
  <c r="AN87" i="2"/>
  <c r="AN76" i="2"/>
  <c r="AN30" i="2"/>
  <c r="AN148" i="2"/>
  <c r="AN169" i="2"/>
  <c r="AN59" i="2"/>
  <c r="AN64" i="2"/>
  <c r="AN117" i="2"/>
  <c r="AN142" i="2"/>
  <c r="AN70" i="2"/>
  <c r="AN65" i="2"/>
  <c r="AN23" i="2"/>
  <c r="AN116" i="2"/>
  <c r="AN49" i="2"/>
  <c r="AN57" i="2"/>
  <c r="AN171" i="2"/>
  <c r="AN126" i="2"/>
  <c r="AN28" i="2"/>
  <c r="AN174" i="2"/>
  <c r="AN35" i="2"/>
  <c r="AN58" i="2"/>
  <c r="AN54" i="2"/>
  <c r="AN80" i="2"/>
  <c r="AN43" i="2"/>
  <c r="AN101" i="2"/>
  <c r="AN34" i="2"/>
  <c r="AN118" i="2"/>
  <c r="AN92" i="2"/>
  <c r="AN55" i="2"/>
  <c r="AN97" i="2"/>
  <c r="AN164" i="2"/>
  <c r="AN94" i="2"/>
  <c r="AN109" i="2"/>
  <c r="AN25" i="2"/>
  <c r="AN112" i="2"/>
  <c r="AN197" i="2"/>
  <c r="AN15" i="2"/>
  <c r="AN147" i="2"/>
  <c r="AN175" i="2"/>
  <c r="AN131" i="2"/>
  <c r="AN172" i="2"/>
  <c r="AN8" i="2"/>
  <c r="AN7" i="2"/>
  <c r="AN68" i="2"/>
  <c r="AN9" i="2"/>
  <c r="AN99" i="2"/>
  <c r="AN156" i="2"/>
  <c r="AN125" i="2"/>
  <c r="AN67" i="2"/>
  <c r="AN12" i="2"/>
  <c r="AN188" i="2"/>
  <c r="AN46" i="2"/>
  <c r="AN11" i="2"/>
  <c r="AN93" i="2"/>
  <c r="AN157" i="2"/>
  <c r="AN113" i="2"/>
  <c r="AN84" i="2"/>
  <c r="AN199" i="2"/>
  <c r="AN151" i="2"/>
  <c r="AN56" i="2"/>
  <c r="AN42" i="2"/>
  <c r="AN189" i="2"/>
  <c r="AN186" i="2"/>
  <c r="AN86" i="2"/>
  <c r="AN168" i="2"/>
  <c r="AN119" i="2"/>
  <c r="AN170" i="2"/>
  <c r="AN78" i="2"/>
  <c r="AN136" i="2"/>
  <c r="AN154" i="2"/>
  <c r="AN134" i="2"/>
  <c r="AN123" i="2"/>
  <c r="AN178" i="2"/>
  <c r="AN180" i="2"/>
  <c r="AN14" i="2"/>
  <c r="AN39" i="2"/>
  <c r="AN161" i="2"/>
  <c r="AN194" i="2"/>
  <c r="AN5" i="2"/>
  <c r="AN16" i="2"/>
  <c r="AN176" i="2"/>
  <c r="AN74" i="2"/>
  <c r="AN98" i="2"/>
  <c r="AN158" i="2"/>
  <c r="AN166" i="2"/>
  <c r="AN26" i="2"/>
  <c r="AN114" i="2"/>
  <c r="AN105" i="2"/>
  <c r="AN103" i="2"/>
  <c r="AN38" i="2"/>
  <c r="AN120" i="2"/>
  <c r="AN179" i="2"/>
  <c r="AN181" i="2"/>
  <c r="AN95" i="2"/>
  <c r="AN155" i="2"/>
  <c r="AN53" i="2"/>
  <c r="AN159" i="2"/>
  <c r="AN71" i="2"/>
  <c r="AN132" i="2"/>
  <c r="AN96" i="2"/>
  <c r="AN167" i="2"/>
  <c r="AN184" i="2"/>
  <c r="AN115" i="2"/>
  <c r="AN144" i="2"/>
  <c r="AN17" i="2"/>
  <c r="AN66" i="2"/>
  <c r="AN44" i="2"/>
  <c r="AN124" i="2"/>
  <c r="AN32" i="2"/>
  <c r="AN200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<sst xmlns="http://schemas.openxmlformats.org/spreadsheetml/2006/main" count="1175" uniqueCount="325">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</sst>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32" fillId="14" borderId="1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5.1822653576837583</c:v>
                </c:pt>
                <c:pt idx="2">
                  <c:v>10.125746652531491</c:v>
                </c:pt>
                <c:pt idx="3">
                  <c:v>14.992112681293335</c:v>
                </c:pt>
                <c:pt idx="4">
                  <c:v>19.810943065765517</c:v>
                </c:pt>
                <c:pt idx="5">
                  <c:v>24.59564426023022</c:v>
                </c:pt>
                <c:pt idx="6">
                  <c:v>29.35386386594509</c:v>
                </c:pt>
                <c:pt idx="7">
                  <c:v>34.090531995742133</c:v>
                </c:pt>
                <c:pt idx="8">
                  <c:v>38.809082667849559</c:v>
                </c:pt>
                <c:pt idx="9">
                  <c:v>43.512039929349349</c:v>
                </c:pt>
                <c:pt idx="10">
                  <c:v>48.201334022738315</c:v>
                </c:pt>
                <c:pt idx="11">
                  <c:v>52.878486802419069</c:v>
                </c:pt>
                <c:pt idx="12">
                  <c:v>57.544727551346078</c:v>
                </c:pt>
                <c:pt idx="13">
                  <c:v>62.201068988831217</c:v>
                </c:pt>
                <c:pt idx="14">
                  <c:v>66.848359180604049</c:v>
                </c:pt>
                <c:pt idx="15">
                  <c:v>71.487318175089399</c:v>
                </c:pt>
                <c:pt idx="16">
                  <c:v>76.118564582726847</c:v>
                </c:pt>
                <c:pt idx="17">
                  <c:v>80.742635317154324</c:v>
                </c:pt>
                <c:pt idx="18">
                  <c:v>85.360000557388403</c:v>
                </c:pt>
                <c:pt idx="19">
                  <c:v>89.971075289753273</c:v>
                </c:pt>
                <c:pt idx="20">
                  <c:v>94.576228350610691</c:v>
                </c:pt>
                <c:pt idx="21">
                  <c:v>99.175789609148339</c:v>
                </c:pt>
                <c:pt idx="22">
                  <c:v>103.77005574325341</c:v>
                </c:pt>
                <c:pt idx="23">
                  <c:v>108.35929493554205</c:v>
                </c:pt>
                <c:pt idx="24">
                  <c:v>112.943750729643</c:v>
                </c:pt>
                <c:pt idx="25">
                  <c:v>117.52364522565694</c:v>
                </c:pt>
                <c:pt idx="26">
                  <c:v>122.09918174995046</c:v>
                </c:pt>
                <c:pt idx="27">
                  <c:v>126.67054710265982</c:v>
                </c:pt>
                <c:pt idx="28">
                  <c:v>131.23791346287058</c:v>
                </c:pt>
                <c:pt idx="29">
                  <c:v>135.80144001398116</c:v>
                </c:pt>
                <c:pt idx="30">
                  <c:v>140.36127433857891</c:v>
                </c:pt>
                <c:pt idx="31">
                  <c:v>144.91755362210907</c:v>
                </c:pt>
                <c:pt idx="32">
                  <c:v>149.47040569686848</c:v>
                </c:pt>
                <c:pt idx="33">
                  <c:v>154.0199499518335</c:v>
                </c:pt>
                <c:pt idx="34">
                  <c:v>158.56629812910811</c:v>
                </c:pt>
                <c:pt idx="35">
                  <c:v>163.10955502403874</c:v>
                </c:pt>
                <c:pt idx="36">
                  <c:v>167.64981910306696</c:v>
                </c:pt>
                <c:pt idx="37">
                  <c:v>172.18718305100217</c:v>
                </c:pt>
                <c:pt idx="38">
                  <c:v>176.72173425746576</c:v>
                </c:pt>
                <c:pt idx="39">
                  <c:v>181.25355525069003</c:v>
                </c:pt>
                <c:pt idx="40">
                  <c:v>185.78272408557322</c:v>
                </c:pt>
                <c:pt idx="41">
                  <c:v>190.30931469183682</c:v>
                </c:pt>
                <c:pt idx="42">
                  <c:v>194.83339718725929</c:v>
                </c:pt>
                <c:pt idx="43">
                  <c:v>199.35503816023848</c:v>
                </c:pt>
                <c:pt idx="44">
                  <c:v>203.87430092532801</c:v>
                </c:pt>
                <c:pt idx="45">
                  <c:v>208.39124575488847</c:v>
                </c:pt>
                <c:pt idx="46">
                  <c:v>146.35710105921126</c:v>
                </c:pt>
                <c:pt idx="47">
                  <c:v>162.83660823640167</c:v>
                </c:pt>
                <c:pt idx="48">
                  <c:v>179.27666110179868</c:v>
                </c:pt>
                <c:pt idx="49">
                  <c:v>195.68138889273439</c:v>
                </c:pt>
                <c:pt idx="50">
                  <c:v>212.05417093952585</c:v>
                </c:pt>
                <c:pt idx="51">
                  <c:v>228.39782153758529</c:v>
                </c:pt>
                <c:pt idx="52">
                  <c:v>244.71471898534048</c:v>
                </c:pt>
                <c:pt idx="53">
                  <c:v>261.00689832879806</c:v>
                </c:pt>
                <c:pt idx="54">
                  <c:v>195.1921733583375</c:v>
                </c:pt>
                <c:pt idx="55">
                  <c:v>211.32170350149227</c:v>
                </c:pt>
                <c:pt idx="56">
                  <c:v>227.422853900511</c:v>
                </c:pt>
                <c:pt idx="57">
                  <c:v>243.49791694752594</c:v>
                </c:pt>
                <c:pt idx="58">
                  <c:v>259.54885745296002</c:v>
                </c:pt>
                <c:pt idx="59">
                  <c:v>275.57737725589118</c:v>
                </c:pt>
                <c:pt idx="60">
                  <c:v>291.58496399502098</c:v>
                </c:pt>
                <c:pt idx="61">
                  <c:v>307.57292859760366</c:v>
                </c:pt>
                <c:pt idx="62">
                  <c:v>239.84667772211341</c:v>
                </c:pt>
                <c:pt idx="63">
                  <c:v>255.65984001487422</c:v>
                </c:pt>
                <c:pt idx="64">
                  <c:v>271.45087692406486</c:v>
                </c:pt>
                <c:pt idx="65">
                  <c:v>287.22125677879279</c:v>
                </c:pt>
                <c:pt idx="66">
                  <c:v>302.9722734584289</c:v>
                </c:pt>
                <c:pt idx="67">
                  <c:v>318.70507530239303</c:v>
                </c:pt>
                <c:pt idx="68">
                  <c:v>334.42068800881117</c:v>
                </c:pt>
                <c:pt idx="69">
                  <c:v>350.12003300139162</c:v>
                </c:pt>
                <c:pt idx="70">
                  <c:v>286.49382865897553</c:v>
                </c:pt>
                <c:pt idx="71">
                  <c:v>300.30802702917401</c:v>
                </c:pt>
                <c:pt idx="72">
                  <c:v>314.10807777988293</c:v>
                </c:pt>
                <c:pt idx="73">
                  <c:v>327.89469010372414</c:v>
                </c:pt>
                <c:pt idx="74">
                  <c:v>341.6685086764171</c:v>
                </c:pt>
                <c:pt idx="75">
                  <c:v>355.43012194528234</c:v>
                </c:pt>
                <c:pt idx="76">
                  <c:v>369.18006906658911</c:v>
                </c:pt>
                <c:pt idx="77">
                  <c:v>382.91884575514433</c:v>
                </c:pt>
                <c:pt idx="78">
                  <c:v>314.10807777988293</c:v>
                </c:pt>
                <c:pt idx="79">
                  <c:v>330.31205751269079</c:v>
                </c:pt>
                <c:pt idx="80">
                  <c:v>346.49850623818423</c:v>
                </c:pt>
                <c:pt idx="81">
                  <c:v>362.66835805764981</c:v>
                </c:pt>
                <c:pt idx="82">
                  <c:v>378.82245698743469</c:v>
                </c:pt>
                <c:pt idx="83">
                  <c:v>394.96156919786182</c:v>
                </c:pt>
                <c:pt idx="84">
                  <c:v>411.08639314698871</c:v>
                </c:pt>
                <c:pt idx="85">
                  <c:v>427.19756804132612</c:v>
                </c:pt>
                <c:pt idx="86">
                  <c:v>375.59285962266853</c:v>
                </c:pt>
                <c:pt idx="87">
                  <c:v>389.47109094329409</c:v>
                </c:pt>
                <c:pt idx="88">
                  <c:v>403.33859253105874</c:v>
                </c:pt>
                <c:pt idx="89">
                  <c:v>417.19578523729109</c:v>
                </c:pt>
                <c:pt idx="90">
                  <c:v>431.04305967702015</c:v>
                </c:pt>
                <c:pt idx="91">
                  <c:v>444.88077932325183</c:v>
                </c:pt>
                <c:pt idx="92">
                  <c:v>458.70928319621322</c:v>
                </c:pt>
                <c:pt idx="93">
                  <c:v>472.52888821143875</c:v>
                </c:pt>
                <c:pt idx="94">
                  <c:v>486.3398912388916</c:v>
                </c:pt>
                <c:pt idx="95">
                  <c:v>500.14257091604276</c:v>
                </c:pt>
                <c:pt idx="96">
                  <c:v>449.68337101454784</c:v>
                </c:pt>
                <c:pt idx="97">
                  <c:v>460.62919798538474</c:v>
                </c:pt>
                <c:pt idx="98">
                  <c:v>471.56947467131835</c:v>
                </c:pt>
                <c:pt idx="99">
                  <c:v>482.50434799892838</c:v>
                </c:pt>
                <c:pt idx="100">
                  <c:v>493.43395769164931</c:v>
                </c:pt>
                <c:pt idx="101">
                  <c:v>504.35843677803229</c:v>
                </c:pt>
                <c:pt idx="102">
                  <c:v>515.27791205368248</c:v>
                </c:pt>
                <c:pt idx="103">
                  <c:v>526.19250450200536</c:v>
                </c:pt>
                <c:pt idx="104">
                  <c:v>537.10232967822878</c:v>
                </c:pt>
                <c:pt idx="105">
                  <c:v>548.00749806060469</c:v>
                </c:pt>
                <c:pt idx="106">
                  <c:v>478.66815678776123</c:v>
                </c:pt>
                <c:pt idx="107">
                  <c:v>491.70857427594166</c:v>
                </c:pt>
                <c:pt idx="108">
                  <c:v>504.74166024448397</c:v>
                </c:pt>
                <c:pt idx="109">
                  <c:v>517.76763064124975</c:v>
                </c:pt>
                <c:pt idx="110">
                  <c:v>530.78668966466364</c:v>
                </c:pt>
                <c:pt idx="111">
                  <c:v>543.79903068153794</c:v>
                </c:pt>
                <c:pt idx="112">
                  <c:v>556.80483705250037</c:v>
                </c:pt>
                <c:pt idx="113">
                  <c:v>569.80428287631264</c:v>
                </c:pt>
                <c:pt idx="114">
                  <c:v>582.7975336627527</c:v>
                </c:pt>
                <c:pt idx="115">
                  <c:v>595.7847469423931</c:v>
                </c:pt>
                <c:pt idx="116">
                  <c:v>524.08655437676134</c:v>
                </c:pt>
                <c:pt idx="117">
                  <c:v>536.52824539615131</c:v>
                </c:pt>
                <c:pt idx="118">
                  <c:v>548.96387316130563</c:v>
                </c:pt>
                <c:pt idx="119">
                  <c:v>561.39359434700032</c:v>
                </c:pt>
                <c:pt idx="120">
                  <c:v>573.81755812617416</c:v>
                </c:pt>
                <c:pt idx="121">
                  <c:v>586.23590668718828</c:v>
                </c:pt>
                <c:pt idx="122">
                  <c:v>598.64877570499334</c:v>
                </c:pt>
                <c:pt idx="123">
                  <c:v>611.05629477119896</c:v>
                </c:pt>
                <c:pt idx="124">
                  <c:v>623.45858778741035</c:v>
                </c:pt>
                <c:pt idx="125">
                  <c:v>635.85577332565333</c:v>
                </c:pt>
                <c:pt idx="126">
                  <c:v>558.33451047614574</c:v>
                </c:pt>
                <c:pt idx="127">
                  <c:v>570.56876165925371</c:v>
                </c:pt>
                <c:pt idx="128">
                  <c:v>582.79753366275258</c:v>
                </c:pt>
                <c:pt idx="129">
                  <c:v>595.02095762588749</c:v>
                </c:pt>
                <c:pt idx="130">
                  <c:v>607.23915886223847</c:v>
                </c:pt>
                <c:pt idx="131">
                  <c:v>619.45225723298938</c:v>
                </c:pt>
                <c:pt idx="132">
                  <c:v>631.66036748923909</c:v>
                </c:pt>
                <c:pt idx="133">
                  <c:v>643.86359958648575</c:v>
                </c:pt>
                <c:pt idx="134">
                  <c:v>656.06205897403868</c:v>
                </c:pt>
                <c:pt idx="135">
                  <c:v>668.25584686179945</c:v>
                </c:pt>
                <c:pt idx="136">
                  <c:v>586.99993242228959</c:v>
                </c:pt>
                <c:pt idx="137">
                  <c:v>601.13070346995062</c:v>
                </c:pt>
                <c:pt idx="138">
                  <c:v>615.25457298643448</c:v>
                </c:pt>
                <c:pt idx="139">
                  <c:v>629.37172164678998</c:v>
                </c:pt>
                <c:pt idx="140">
                  <c:v>643.48232136416584</c:v>
                </c:pt>
                <c:pt idx="141">
                  <c:v>657.58653590152892</c:v>
                </c:pt>
                <c:pt idx="142">
                  <c:v>671.68452142819592</c:v>
                </c:pt>
                <c:pt idx="143">
                  <c:v>685.77642702724586</c:v>
                </c:pt>
                <c:pt idx="144">
                  <c:v>699.86239515908301</c:v>
                </c:pt>
                <c:pt idx="145">
                  <c:v>713.94256208576314</c:v>
                </c:pt>
                <c:pt idx="146">
                  <c:v>641.76651160533413</c:v>
                </c:pt>
                <c:pt idx="147">
                  <c:v>653.39404860903824</c:v>
                </c:pt>
                <c:pt idx="148">
                  <c:v>665.01732203429958</c:v>
                </c:pt>
                <c:pt idx="149">
                  <c:v>676.63641687400468</c:v>
                </c:pt>
                <c:pt idx="150">
                  <c:v>688.25141496528465</c:v>
                </c:pt>
                <c:pt idx="151">
                  <c:v>699.86239515908335</c:v>
                </c:pt>
                <c:pt idx="152">
                  <c:v>711.46943347789545</c:v>
                </c:pt>
                <c:pt idx="153">
                  <c:v>723.07260326268113</c:v>
                </c:pt>
                <c:pt idx="154">
                  <c:v>734.67197530986607</c:v>
                </c:pt>
                <c:pt idx="155">
                  <c:v>746.26761799924361</c:v>
                </c:pt>
                <c:pt idx="156">
                  <c:v>663.30267762477615</c:v>
                </c:pt>
                <c:pt idx="157">
                  <c:v>677.39818073146819</c:v>
                </c:pt>
                <c:pt idx="158">
                  <c:v>691.4876624381701</c:v>
                </c:pt>
                <c:pt idx="159">
                  <c:v>705.57126264337137</c:v>
                </c:pt>
                <c:pt idx="160">
                  <c:v>719.6491152090033</c:v>
                </c:pt>
                <c:pt idx="161">
                  <c:v>733.72134833634766</c:v>
                </c:pt>
                <c:pt idx="162">
                  <c:v>747.78808491162965</c:v>
                </c:pt>
                <c:pt idx="163">
                  <c:v>761.8494428242758</c:v>
                </c:pt>
                <c:pt idx="164">
                  <c:v>775.90553526047267</c:v>
                </c:pt>
                <c:pt idx="165">
                  <c:v>789.95647097436506</c:v>
                </c:pt>
                <c:pt idx="166">
                  <c:v>737.14348827639867</c:v>
                </c:pt>
                <c:pt idx="167">
                  <c:v>769.82786411059317</c:v>
                </c:pt>
                <c:pt idx="168">
                  <c:v>802.48412111464143</c:v>
                </c:pt>
                <c:pt idx="169">
                  <c:v>835.11356236429003</c:v>
                </c:pt>
                <c:pt idx="170">
                  <c:v>867.7173809929759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264.80476442094317</c:v>
                </c:pt>
                <c:pt idx="17">
                  <c:v>296.22015335819344</c:v>
                </c:pt>
                <c:pt idx="18">
                  <c:v>327.56122929942904</c:v>
                </c:pt>
                <c:pt idx="19">
                  <c:v>358.83609605474334</c:v>
                </c:pt>
                <c:pt idx="20">
                  <c:v>390.05132931925556</c:v>
                </c:pt>
                <c:pt idx="21">
                  <c:v>404.09210640454285</c:v>
                </c:pt>
                <c:pt idx="22">
                  <c:v>431.19222333135843</c:v>
                </c:pt>
                <c:pt idx="23">
                  <c:v>458.25576105493684</c:v>
                </c:pt>
                <c:pt idx="24">
                  <c:v>485.28518110618751</c:v>
                </c:pt>
                <c:pt idx="25">
                  <c:v>512.28264869987152</c:v>
                </c:pt>
                <c:pt idx="26">
                  <c:v>485.28518110618751</c:v>
                </c:pt>
                <c:pt idx="27">
                  <c:v>512.75601512326512</c:v>
                </c:pt>
                <c:pt idx="28">
                  <c:v>540.19578443936382</c:v>
                </c:pt>
                <c:pt idx="29">
                  <c:v>567.60628686766233</c:v>
                </c:pt>
                <c:pt idx="30">
                  <c:v>594.98913262854285</c:v>
                </c:pt>
                <c:pt idx="31">
                  <c:v>543.74185767351298</c:v>
                </c:pt>
                <c:pt idx="32">
                  <c:v>571.62098338003022</c:v>
                </c:pt>
                <c:pt idx="33">
                  <c:v>599.47171971380703</c:v>
                </c:pt>
                <c:pt idx="34">
                  <c:v>627.29556926361386</c:v>
                </c:pt>
                <c:pt idx="35">
                  <c:v>655.0938906304458</c:v>
                </c:pt>
                <c:pt idx="36">
                  <c:v>594.51724057967738</c:v>
                </c:pt>
                <c:pt idx="37">
                  <c:v>618.80970334534493</c:v>
                </c:pt>
                <c:pt idx="38">
                  <c:v>643.08241247054968</c:v>
                </c:pt>
                <c:pt idx="39">
                  <c:v>667.33621752718682</c:v>
                </c:pt>
                <c:pt idx="40">
                  <c:v>691.57190137448958</c:v>
                </c:pt>
                <c:pt idx="41">
                  <c:v>621.874320130466</c:v>
                </c:pt>
                <c:pt idx="42">
                  <c:v>645.20241897772098</c:v>
                </c:pt>
                <c:pt idx="43">
                  <c:v>668.51311945549139</c:v>
                </c:pt>
                <c:pt idx="44">
                  <c:v>691.80711287565771</c:v>
                </c:pt>
                <c:pt idx="45">
                  <c:v>715.08504025687535</c:v>
                </c:pt>
                <c:pt idx="46">
                  <c:v>641.90456876449605</c:v>
                </c:pt>
                <c:pt idx="47">
                  <c:v>666.39466525125351</c:v>
                </c:pt>
                <c:pt idx="48">
                  <c:v>690.8662570315654</c:v>
                </c:pt>
                <c:pt idx="49">
                  <c:v>715.32009094800981</c:v>
                </c:pt>
                <c:pt idx="50">
                  <c:v>739.75685868452126</c:v>
                </c:pt>
                <c:pt idx="51">
                  <c:v>674.63232461236578</c:v>
                </c:pt>
                <c:pt idx="52">
                  <c:v>697.68686942769136</c:v>
                </c:pt>
                <c:pt idx="53">
                  <c:v>720.72582265116944</c:v>
                </c:pt>
                <c:pt idx="54">
                  <c:v>743.74975220804117</c:v>
                </c:pt>
                <c:pt idx="55">
                  <c:v>766.75918804010871</c:v>
                </c:pt>
                <c:pt idx="56">
                  <c:v>709.44334887873481</c:v>
                </c:pt>
                <c:pt idx="57">
                  <c:v>729.65522222451818</c:v>
                </c:pt>
                <c:pt idx="58">
                  <c:v>749.85568800157341</c:v>
                </c:pt>
                <c:pt idx="59">
                  <c:v>770.04509644101472</c:v>
                </c:pt>
                <c:pt idx="60">
                  <c:v>790.22377793307135</c:v>
                </c:pt>
                <c:pt idx="61">
                  <c:v>732.94443800665124</c:v>
                </c:pt>
                <c:pt idx="62">
                  <c:v>750.79497281366912</c:v>
                </c:pt>
                <c:pt idx="63">
                  <c:v>768.63688486840795</c:v>
                </c:pt>
                <c:pt idx="64">
                  <c:v>786.47040231283779</c:v>
                </c:pt>
                <c:pt idx="65">
                  <c:v>804.29574210983867</c:v>
                </c:pt>
                <c:pt idx="66">
                  <c:v>3.4554122145673649E-12</c:v>
                </c:pt>
                <c:pt idx="67">
                  <c:v>3.4554122145673649E-12</c:v>
                </c:pt>
                <c:pt idx="68">
                  <c:v>3.4554122145673649E-12</c:v>
                </c:pt>
                <c:pt idx="69">
                  <c:v>3.4554122145673649E-12</c:v>
                </c:pt>
                <c:pt idx="70">
                  <c:v>3.4554122145673649E-12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5" zoomScaleNormal="85" workbookViewId="0">
      <selection activeCell="B18" sqref="B18:M31"/>
    </sheetView>
  </sheetViews>
  <sheetFormatPr baseColWidth="10" defaultRowHeight="15" x14ac:dyDescent="0.25"/>
  <cols>
    <col min="1" max="1" width="6.855468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C1" zoomScale="85" zoomScaleNormal="85" workbookViewId="0">
      <selection activeCell="E26" sqref="E26"/>
    </sheetView>
  </sheetViews>
  <sheetFormatPr baseColWidth="10" defaultColWidth="11.42578125" defaultRowHeight="15" x14ac:dyDescent="0.25"/>
  <cols>
    <col min="1" max="1" width="13.855468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140625" style="25" customWidth="1"/>
    <col min="6" max="6" width="28.85546875" style="25" bestFit="1" customWidth="1"/>
    <col min="7" max="8" width="14.855468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2.35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0.75</v>
      </c>
      <c r="D9" s="36">
        <f t="shared" ref="D9:D18" si="0">C9*$C$5</f>
        <v>1.7625000000000002</v>
      </c>
      <c r="E9" s="37">
        <v>170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2.7E-2</v>
      </c>
      <c r="D10" s="36">
        <f t="shared" si="0"/>
        <v>6.3450000000000006E-2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0.223</v>
      </c>
      <c r="D11" s="36">
        <f t="shared" si="0"/>
        <v>0.52405000000000002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2.35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45</v>
      </c>
      <c r="B36" s="63">
        <v>104</v>
      </c>
      <c r="C36" s="63">
        <v>1</v>
      </c>
      <c r="D36" s="63">
        <v>40</v>
      </c>
      <c r="E36" s="292"/>
      <c r="F36" s="292"/>
      <c r="G36" s="292"/>
      <c r="H36" s="292">
        <v>1</v>
      </c>
      <c r="I36" s="52">
        <f>IFERROR(B36/A36,"")</f>
        <v>2.3111111111111109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53</v>
      </c>
      <c r="B37" s="63">
        <v>131</v>
      </c>
      <c r="C37" s="63">
        <v>2</v>
      </c>
      <c r="D37" s="63">
        <v>42</v>
      </c>
      <c r="E37" s="292"/>
      <c r="F37" s="292"/>
      <c r="G37" s="292"/>
      <c r="H37" s="292">
        <v>1</v>
      </c>
      <c r="I37" s="56">
        <f t="shared" ref="I37:I52" si="1">IF(A37&lt;&gt;0,(B37-(B36-D36))/(A37-A36),"")</f>
        <v>8.375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61</v>
      </c>
      <c r="B38" s="63">
        <v>155</v>
      </c>
      <c r="C38" s="63">
        <v>3</v>
      </c>
      <c r="D38" s="63">
        <v>43</v>
      </c>
      <c r="E38" s="292">
        <v>0.5</v>
      </c>
      <c r="F38" s="292">
        <v>0.4</v>
      </c>
      <c r="G38" s="292"/>
      <c r="H38" s="292">
        <v>0.1</v>
      </c>
      <c r="I38" s="56">
        <f t="shared" si="1"/>
        <v>8.25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69</v>
      </c>
      <c r="B39" s="63">
        <v>177</v>
      </c>
      <c r="C39" s="63">
        <v>4</v>
      </c>
      <c r="D39" s="63">
        <v>40</v>
      </c>
      <c r="E39" s="292">
        <v>0.5</v>
      </c>
      <c r="F39" s="292">
        <v>0.4</v>
      </c>
      <c r="G39" s="292"/>
      <c r="H39" s="292">
        <v>0.1</v>
      </c>
      <c r="I39" s="52">
        <f t="shared" si="1"/>
        <v>8.125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77</v>
      </c>
      <c r="B40" s="63">
        <v>194</v>
      </c>
      <c r="C40" s="63">
        <v>5</v>
      </c>
      <c r="D40" s="63">
        <v>44</v>
      </c>
      <c r="E40" s="292">
        <v>0.5</v>
      </c>
      <c r="F40" s="292">
        <v>0.4</v>
      </c>
      <c r="G40" s="292"/>
      <c r="H40" s="292">
        <v>0.1</v>
      </c>
      <c r="I40" s="52">
        <f t="shared" si="1"/>
        <v>7.125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85</v>
      </c>
      <c r="B41" s="63">
        <v>217</v>
      </c>
      <c r="C41" s="63">
        <v>6</v>
      </c>
      <c r="D41" s="63">
        <v>34</v>
      </c>
      <c r="E41" s="292">
        <v>0.5</v>
      </c>
      <c r="F41" s="292">
        <v>0.4</v>
      </c>
      <c r="G41" s="292"/>
      <c r="H41" s="292">
        <v>0.1</v>
      </c>
      <c r="I41" s="56">
        <f t="shared" si="1"/>
        <v>8.375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95</v>
      </c>
      <c r="B42" s="63">
        <v>255</v>
      </c>
      <c r="C42" s="63">
        <v>7</v>
      </c>
      <c r="D42" s="63">
        <v>32</v>
      </c>
      <c r="E42" s="292">
        <v>0.5</v>
      </c>
      <c r="F42" s="292">
        <v>0.4</v>
      </c>
      <c r="G42" s="292"/>
      <c r="H42" s="292">
        <v>0.1</v>
      </c>
      <c r="I42" s="56">
        <f t="shared" si="1"/>
        <v>7.2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105</v>
      </c>
      <c r="B43" s="63">
        <v>280</v>
      </c>
      <c r="C43" s="63">
        <v>8</v>
      </c>
      <c r="D43" s="63">
        <v>43</v>
      </c>
      <c r="E43" s="292">
        <v>0.5</v>
      </c>
      <c r="F43" s="292">
        <v>0.4</v>
      </c>
      <c r="G43" s="292"/>
      <c r="H43" s="292">
        <v>0.1</v>
      </c>
      <c r="I43" s="52">
        <f t="shared" si="1"/>
        <v>5.7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115</v>
      </c>
      <c r="B44" s="63">
        <v>305</v>
      </c>
      <c r="C44" s="63">
        <v>9</v>
      </c>
      <c r="D44" s="63">
        <v>44</v>
      </c>
      <c r="E44" s="292">
        <v>0.5</v>
      </c>
      <c r="F44" s="292">
        <v>0.4</v>
      </c>
      <c r="G44" s="292"/>
      <c r="H44" s="292">
        <v>0.1</v>
      </c>
      <c r="I44" s="52">
        <f t="shared" si="1"/>
        <v>6.8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125</v>
      </c>
      <c r="B45" s="63">
        <v>326</v>
      </c>
      <c r="C45" s="63">
        <v>10</v>
      </c>
      <c r="D45" s="63">
        <v>47</v>
      </c>
      <c r="E45" s="292">
        <v>0.5</v>
      </c>
      <c r="F45" s="292">
        <v>0.4</v>
      </c>
      <c r="G45" s="292"/>
      <c r="H45" s="292">
        <v>0.1</v>
      </c>
      <c r="I45" s="52">
        <f t="shared" si="1"/>
        <v>6.5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135</v>
      </c>
      <c r="B46" s="63">
        <v>343</v>
      </c>
      <c r="C46" s="63">
        <v>11</v>
      </c>
      <c r="D46" s="63">
        <v>50</v>
      </c>
      <c r="E46" s="292">
        <v>0.5</v>
      </c>
      <c r="F46" s="292">
        <v>0.4</v>
      </c>
      <c r="G46" s="292"/>
      <c r="H46" s="292">
        <v>0.1</v>
      </c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145</v>
      </c>
      <c r="B47" s="63">
        <v>367</v>
      </c>
      <c r="C47" s="63">
        <v>12</v>
      </c>
      <c r="D47" s="63">
        <v>44</v>
      </c>
      <c r="E47" s="292">
        <v>0.5</v>
      </c>
      <c r="F47" s="292">
        <v>0.4</v>
      </c>
      <c r="G47" s="292"/>
      <c r="H47" s="292">
        <v>0.1</v>
      </c>
      <c r="I47" s="52">
        <f t="shared" si="1"/>
        <v>7.4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155</v>
      </c>
      <c r="B48" s="63">
        <v>384</v>
      </c>
      <c r="C48" s="63">
        <v>13</v>
      </c>
      <c r="D48" s="63">
        <v>51</v>
      </c>
      <c r="E48" s="54">
        <v>0.5</v>
      </c>
      <c r="F48" s="54">
        <v>0.4</v>
      </c>
      <c r="G48" s="54"/>
      <c r="H48" s="54">
        <v>0.1</v>
      </c>
      <c r="I48" s="52">
        <f t="shared" si="1"/>
        <v>6.1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165</v>
      </c>
      <c r="B49" s="63">
        <v>407</v>
      </c>
      <c r="C49" s="63">
        <v>14</v>
      </c>
      <c r="D49" s="63">
        <v>45</v>
      </c>
      <c r="E49" s="54">
        <v>1</v>
      </c>
      <c r="F49" s="54"/>
      <c r="G49" s="54"/>
      <c r="H49" s="54"/>
      <c r="I49" s="52">
        <f t="shared" si="1"/>
        <v>7.4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170</v>
      </c>
      <c r="B50" s="53">
        <v>448</v>
      </c>
      <c r="C50" s="53" t="s">
        <v>324</v>
      </c>
      <c r="D50" s="53">
        <v>448</v>
      </c>
      <c r="E50" s="54">
        <v>1</v>
      </c>
      <c r="F50" s="54"/>
      <c r="G50" s="54"/>
      <c r="H50" s="54"/>
      <c r="I50" s="52">
        <f t="shared" si="1"/>
        <v>17.2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ref="I53:I55" si="2">IF(A53&lt;&gt;0,(B53-(B52-D52))/(A53-A52),"")</f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2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2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189</v>
      </c>
      <c r="C62" s="53">
        <v>1</v>
      </c>
      <c r="D62" s="63">
        <v>0</v>
      </c>
      <c r="E62" s="292"/>
      <c r="F62" s="292"/>
      <c r="G62" s="292"/>
      <c r="H62" s="292">
        <v>1</v>
      </c>
      <c r="I62" s="56">
        <f>IFERROR(B62/A62,"")</f>
        <v>12.6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320</v>
      </c>
      <c r="C63" s="53">
        <v>2</v>
      </c>
      <c r="D63" s="63">
        <v>11</v>
      </c>
      <c r="E63" s="292"/>
      <c r="F63" s="292">
        <v>0.5</v>
      </c>
      <c r="G63" s="292"/>
      <c r="H63" s="292">
        <v>0.5</v>
      </c>
      <c r="I63" s="52">
        <f t="shared" ref="I63:I78" si="3">IF(A63&lt;&gt;0,(B63-(B62-D62))/(A63-A62),"")</f>
        <v>26.2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423</v>
      </c>
      <c r="C64" s="53">
        <v>3</v>
      </c>
      <c r="D64" s="63">
        <v>46</v>
      </c>
      <c r="E64" s="292"/>
      <c r="F64" s="292">
        <v>0.5</v>
      </c>
      <c r="G64" s="292"/>
      <c r="H64" s="292">
        <v>0.5</v>
      </c>
      <c r="I64" s="52">
        <f t="shared" si="3"/>
        <v>22.8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8">
        <v>30</v>
      </c>
      <c r="B65" s="58">
        <v>493</v>
      </c>
      <c r="C65" s="53">
        <v>4</v>
      </c>
      <c r="D65" s="58">
        <v>67</v>
      </c>
      <c r="E65" s="292">
        <v>0.4</v>
      </c>
      <c r="F65" s="292">
        <v>0.5</v>
      </c>
      <c r="G65" s="292"/>
      <c r="H65" s="292">
        <v>0.1</v>
      </c>
      <c r="I65" s="52">
        <f t="shared" si="3"/>
        <v>23.2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8">
        <v>35</v>
      </c>
      <c r="B66" s="58">
        <v>544</v>
      </c>
      <c r="C66" s="53">
        <v>5</v>
      </c>
      <c r="D66" s="58">
        <v>72</v>
      </c>
      <c r="E66" s="292">
        <v>0.4</v>
      </c>
      <c r="F66" s="292">
        <v>0.5</v>
      </c>
      <c r="G66" s="292"/>
      <c r="H66" s="292">
        <v>0.1</v>
      </c>
      <c r="I66" s="52">
        <f t="shared" si="3"/>
        <v>23.6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8">
        <v>40</v>
      </c>
      <c r="B67" s="58">
        <v>575</v>
      </c>
      <c r="C67" s="53">
        <v>6</v>
      </c>
      <c r="D67" s="58">
        <v>79</v>
      </c>
      <c r="E67" s="292">
        <v>0.4</v>
      </c>
      <c r="F67" s="292">
        <v>0.5</v>
      </c>
      <c r="G67" s="292"/>
      <c r="H67" s="292">
        <v>0.1</v>
      </c>
      <c r="I67" s="52">
        <f t="shared" si="3"/>
        <v>20.6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8">
        <v>45</v>
      </c>
      <c r="B68" s="58">
        <v>595</v>
      </c>
      <c r="C68" s="53">
        <v>7</v>
      </c>
      <c r="D68" s="58">
        <v>83</v>
      </c>
      <c r="E68" s="292">
        <v>0.4</v>
      </c>
      <c r="F68" s="292">
        <v>0.5</v>
      </c>
      <c r="G68" s="292"/>
      <c r="H68" s="292">
        <v>0.1</v>
      </c>
      <c r="I68" s="52">
        <f t="shared" si="3"/>
        <v>19.8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8">
        <v>50</v>
      </c>
      <c r="B69" s="58">
        <v>616</v>
      </c>
      <c r="C69" s="53">
        <v>8</v>
      </c>
      <c r="D69" s="58">
        <v>75</v>
      </c>
      <c r="E69" s="292">
        <v>0.4</v>
      </c>
      <c r="F69" s="292">
        <v>0.5</v>
      </c>
      <c r="G69" s="292"/>
      <c r="H69" s="292">
        <v>0.1</v>
      </c>
      <c r="I69" s="52">
        <f t="shared" si="3"/>
        <v>20.8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8">
        <v>55</v>
      </c>
      <c r="B70" s="58">
        <v>639</v>
      </c>
      <c r="C70" s="53">
        <v>9</v>
      </c>
      <c r="D70" s="58">
        <v>66</v>
      </c>
      <c r="E70" s="292">
        <v>1</v>
      </c>
      <c r="F70" s="292"/>
      <c r="G70" s="292"/>
      <c r="H70" s="292"/>
      <c r="I70" s="52">
        <f t="shared" si="3"/>
        <v>19.600000000000001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8">
        <v>60</v>
      </c>
      <c r="B71" s="58">
        <v>659</v>
      </c>
      <c r="C71" s="53">
        <v>10</v>
      </c>
      <c r="D71" s="58">
        <v>64</v>
      </c>
      <c r="E71" s="292">
        <v>1</v>
      </c>
      <c r="F71" s="292"/>
      <c r="G71" s="292"/>
      <c r="H71" s="292"/>
      <c r="I71" s="52">
        <f t="shared" si="3"/>
        <v>17.2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8">
        <v>65</v>
      </c>
      <c r="B72" s="58">
        <v>671</v>
      </c>
      <c r="C72" s="53" t="s">
        <v>324</v>
      </c>
      <c r="D72" s="58">
        <v>671</v>
      </c>
      <c r="E72" s="292">
        <v>1</v>
      </c>
      <c r="F72" s="54"/>
      <c r="G72" s="54"/>
      <c r="H72" s="54"/>
      <c r="I72" s="52">
        <f t="shared" si="3"/>
        <v>15.2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3"/>
      <c r="B73" s="293"/>
      <c r="C73" s="293"/>
      <c r="D73" s="6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3"/>
      <c r="B74" s="63"/>
      <c r="C74" s="293"/>
      <c r="D74" s="6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3"/>
      <c r="B75" s="63"/>
      <c r="C75" s="293"/>
      <c r="D75" s="6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3"/>
      <c r="B76" s="63"/>
      <c r="C76" s="293"/>
      <c r="D76" s="63"/>
      <c r="E76" s="63"/>
      <c r="F76" s="293"/>
      <c r="G76" s="63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63"/>
      <c r="B77" s="63"/>
      <c r="C77" s="63"/>
      <c r="D77" s="63"/>
      <c r="E77" s="63"/>
      <c r="F77" s="293"/>
      <c r="G77" s="63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63"/>
      <c r="F78" s="63"/>
      <c r="G78" s="63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ref="I79:I81" si="4">IF(A79&lt;&gt;0,(B79-(B78-D78))/(A79-A78),"")</f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4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4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117</v>
      </c>
      <c r="C88" s="63">
        <v>1</v>
      </c>
      <c r="D88" s="63">
        <v>27</v>
      </c>
      <c r="E88" s="54"/>
      <c r="F88" s="54"/>
      <c r="G88" s="54"/>
      <c r="H88" s="93">
        <v>1</v>
      </c>
      <c r="I88" s="56">
        <f>IFERROR(B88/A88,"")</f>
        <v>5.85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140</v>
      </c>
      <c r="C89" s="63">
        <v>2</v>
      </c>
      <c r="D89" s="63">
        <v>16</v>
      </c>
      <c r="E89" s="54"/>
      <c r="F89" s="54"/>
      <c r="G89" s="54"/>
      <c r="H89" s="93">
        <v>1</v>
      </c>
      <c r="I89" s="56">
        <f t="shared" ref="I89:I107" si="5">IF(A89&lt;&gt;0,(B89-(B88-D88))/(A89-A88),"")</f>
        <v>10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178</v>
      </c>
      <c r="C90" s="63">
        <v>3</v>
      </c>
      <c r="D90" s="63">
        <v>23</v>
      </c>
      <c r="E90" s="93"/>
      <c r="F90" s="93"/>
      <c r="G90" s="93"/>
      <c r="H90" s="93">
        <v>1</v>
      </c>
      <c r="I90" s="56">
        <f t="shared" si="5"/>
        <v>10.8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213</v>
      </c>
      <c r="C91" s="63">
        <v>4</v>
      </c>
      <c r="D91" s="63">
        <v>29</v>
      </c>
      <c r="E91" s="93"/>
      <c r="F91" s="93">
        <v>0.5</v>
      </c>
      <c r="G91" s="93"/>
      <c r="H91" s="93">
        <v>0.5</v>
      </c>
      <c r="I91" s="56">
        <f t="shared" si="5"/>
        <v>11.6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241</v>
      </c>
      <c r="C92" s="63">
        <v>5</v>
      </c>
      <c r="D92" s="63">
        <v>32</v>
      </c>
      <c r="E92" s="93"/>
      <c r="F92" s="93">
        <v>0.5</v>
      </c>
      <c r="G92" s="93"/>
      <c r="H92" s="93">
        <v>0.5</v>
      </c>
      <c r="I92" s="56">
        <f t="shared" si="5"/>
        <v>11.4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263</v>
      </c>
      <c r="C93" s="63">
        <v>6</v>
      </c>
      <c r="D93" s="63">
        <v>36</v>
      </c>
      <c r="E93" s="93">
        <v>0.4</v>
      </c>
      <c r="F93" s="93">
        <v>0.5</v>
      </c>
      <c r="G93" s="93"/>
      <c r="H93" s="93">
        <v>0.1</v>
      </c>
      <c r="I93" s="56">
        <f t="shared" si="5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283</v>
      </c>
      <c r="C94" s="63">
        <v>7</v>
      </c>
      <c r="D94" s="63">
        <v>35</v>
      </c>
      <c r="E94" s="93">
        <v>0.4</v>
      </c>
      <c r="F94" s="93">
        <v>0.5</v>
      </c>
      <c r="G94" s="93"/>
      <c r="H94" s="93">
        <v>0.1</v>
      </c>
      <c r="I94" s="56">
        <f t="shared" si="5"/>
        <v>11.2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v>297</v>
      </c>
      <c r="C95" s="63">
        <v>8</v>
      </c>
      <c r="D95" s="63">
        <v>35</v>
      </c>
      <c r="E95" s="93">
        <v>0.4</v>
      </c>
      <c r="F95" s="93">
        <v>0.5</v>
      </c>
      <c r="G95" s="93"/>
      <c r="H95" s="93">
        <v>0.1</v>
      </c>
      <c r="I95" s="56">
        <f t="shared" si="5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63">
        <v>310</v>
      </c>
      <c r="C96" s="63">
        <v>9</v>
      </c>
      <c r="D96" s="63">
        <v>37</v>
      </c>
      <c r="E96" s="93">
        <v>0.5</v>
      </c>
      <c r="F96" s="93">
        <v>0.5</v>
      </c>
      <c r="G96" s="93"/>
      <c r="H96" s="93"/>
      <c r="I96" s="56">
        <f t="shared" si="5"/>
        <v>9.6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63">
        <v>319</v>
      </c>
      <c r="C97" s="63">
        <v>10</v>
      </c>
      <c r="D97" s="63">
        <v>37</v>
      </c>
      <c r="E97" s="93">
        <v>0.5</v>
      </c>
      <c r="F97" s="93">
        <v>0.5</v>
      </c>
      <c r="G97" s="93"/>
      <c r="H97" s="93"/>
      <c r="I97" s="56">
        <f t="shared" si="5"/>
        <v>9.1999999999999993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63">
        <v>327</v>
      </c>
      <c r="C98" s="63">
        <v>11</v>
      </c>
      <c r="D98" s="63">
        <v>32</v>
      </c>
      <c r="E98" s="93">
        <v>0.5</v>
      </c>
      <c r="F98" s="93">
        <v>0.5</v>
      </c>
      <c r="G98" s="93"/>
      <c r="H98" s="93"/>
      <c r="I98" s="56">
        <f t="shared" si="5"/>
        <v>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63">
        <v>340</v>
      </c>
      <c r="C99" s="63">
        <v>12</v>
      </c>
      <c r="D99" s="63">
        <v>31</v>
      </c>
      <c r="E99" s="93">
        <v>1</v>
      </c>
      <c r="F99" s="93"/>
      <c r="G99" s="93"/>
      <c r="H99" s="93"/>
      <c r="I99" s="56">
        <f t="shared" si="5"/>
        <v>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63">
        <v>349</v>
      </c>
      <c r="C100" s="63" t="s">
        <v>324</v>
      </c>
      <c r="D100" s="63">
        <v>349</v>
      </c>
      <c r="E100" s="93">
        <v>1</v>
      </c>
      <c r="F100" s="68"/>
      <c r="G100" s="68"/>
      <c r="H100" s="68"/>
      <c r="I100" s="56">
        <f t="shared" si="5"/>
        <v>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63"/>
      <c r="C101" s="63"/>
      <c r="D101" s="63"/>
      <c r="E101" s="68"/>
      <c r="F101" s="68"/>
      <c r="G101" s="68"/>
      <c r="H101" s="68"/>
      <c r="I101" s="56" t="str">
        <f t="shared" si="5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63"/>
      <c r="D102" s="53"/>
      <c r="E102" s="57"/>
      <c r="F102" s="57"/>
      <c r="G102" s="57"/>
      <c r="H102" s="57"/>
      <c r="I102" s="56" t="str">
        <f t="shared" si="5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5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5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5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5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5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6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6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6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6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6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6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6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6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6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6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6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6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6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6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6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6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7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7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7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7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7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7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7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7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7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7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3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3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3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3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3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3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3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3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140625" style="1" customWidth="1"/>
    <col min="6" max="6" width="14.140625" style="1" customWidth="1"/>
    <col min="7" max="7" width="73.140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855468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85546875" style="71" bestFit="1" customWidth="1"/>
    <col min="25" max="25" width="14.5703125" style="71" bestFit="1" customWidth="1"/>
    <col min="26" max="26" width="12.42578125" style="71" bestFit="1" customWidth="1"/>
    <col min="27" max="27" width="9.855468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140625" style="71" bestFit="1" customWidth="1"/>
    <col min="45" max="45" width="11.85546875" style="71" bestFit="1" customWidth="1"/>
    <col min="46" max="46" width="8.42578125" style="71" bestFit="1" customWidth="1"/>
    <col min="47" max="47" width="9.42578125" style="71" bestFit="1" customWidth="1"/>
    <col min="48" max="48" width="9.855468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140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140625" style="71" bestFit="1" customWidth="1"/>
    <col min="66" max="66" width="11.85546875" style="71" bestFit="1" customWidth="1"/>
    <col min="67" max="67" width="8.42578125" style="71" bestFit="1" customWidth="1"/>
    <col min="68" max="68" width="9.42578125" style="71" bestFit="1" customWidth="1"/>
    <col min="69" max="69" width="9.855468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140625" style="71" bestFit="1" customWidth="1"/>
    <col min="87" max="87" width="11.85546875" style="71" bestFit="1" customWidth="1"/>
    <col min="88" max="88" width="8.42578125" style="71" bestFit="1" customWidth="1"/>
    <col min="89" max="89" width="9.42578125" style="71" bestFit="1" customWidth="1"/>
    <col min="90" max="90" width="9.855468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140625" style="71" bestFit="1" customWidth="1"/>
    <col min="108" max="108" width="11.85546875" style="71" bestFit="1" customWidth="1"/>
    <col min="109" max="109" width="8.42578125" style="71" bestFit="1" customWidth="1"/>
    <col min="110" max="110" width="9.42578125" style="71" bestFit="1" customWidth="1"/>
    <col min="111" max="111" width="9.855468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140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140625" style="71" bestFit="1" customWidth="1"/>
    <col min="129" max="129" width="11.85546875" style="71" bestFit="1" customWidth="1"/>
    <col min="130" max="130" width="8.42578125" style="71" bestFit="1" customWidth="1"/>
    <col min="131" max="131" width="9.42578125" style="71" bestFit="1" customWidth="1"/>
    <col min="132" max="132" width="9.855468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140625" style="71" bestFit="1" customWidth="1"/>
    <col min="150" max="150" width="11.85546875" style="71" bestFit="1" customWidth="1"/>
    <col min="151" max="151" width="8.42578125" style="71" bestFit="1" customWidth="1"/>
    <col min="152" max="152" width="9.42578125" style="71" bestFit="1" customWidth="1"/>
    <col min="153" max="153" width="9.855468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140625" style="71" bestFit="1" customWidth="1"/>
    <col min="171" max="171" width="11.85546875" style="71" bestFit="1" customWidth="1"/>
    <col min="172" max="172" width="8.140625" style="71" bestFit="1" customWidth="1"/>
    <col min="173" max="173" width="9.42578125" style="71" bestFit="1" customWidth="1"/>
    <col min="174" max="174" width="9.855468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140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855468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140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140625" style="71" bestFit="1" customWidth="1"/>
    <col min="213" max="213" width="11.85546875" style="71" bestFit="1" customWidth="1"/>
    <col min="214" max="214" width="8.42578125" style="71" bestFit="1" customWidth="1"/>
    <col min="215" max="215" width="9.42578125" style="71" bestFit="1" customWidth="1"/>
    <col min="216" max="216" width="9.855468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Douglas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Merisier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430.41482167204606</v>
      </c>
      <c r="T3" s="62">
        <f>IF('Données projet'!E9&gt;30,$R$33-$H$33,LOOKUP('Données projet'!$E$9,$A$3:$A$203,R3:R203)-LOOKUP('Données projet'!$E$9,$A$3:$A$203,$H$3:$H$203))</f>
        <v>177.02794100524551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507.43397352006832</v>
      </c>
      <c r="AO3" s="62">
        <f>IF('Données projet'!E10&gt;30,$AM$33-$H$33,LOOKUP('Données projet'!$E$10,$A$3:$A$203,AM3:AM203)-LOOKUP('Données projet'!$E$10,$A$3:$A$203,$H$3:$H$203))</f>
        <v>631.65579929520936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357.65167206083379</v>
      </c>
      <c r="BJ3" s="62">
        <f>IF('Données projet'!E11&gt;30,$BH$33-$H$33,LOOKUP('Données projet'!$E$11,$A$3:$A$203,BH3:BH203)-LOOKUP('Données projet'!$E$11,$A$3:$A$203,$H$3:$H$203))</f>
        <v>341.23389735986342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2.3111111111111109</v>
      </c>
      <c r="N4" s="14">
        <f>IF('Données projet'!$A$36&gt;35,N3+M4-V3,IF(A4&lt;'Données projet'!$A$36,$K$205^A4,IF(A4='Données projet'!$A$36,'Données projet'!$B$36,N3+M4-V3)))</f>
        <v>2.3111111111111109</v>
      </c>
      <c r="O4" s="14">
        <f>N4*VLOOKUP('Données projet'!$B$9,Paramètres!$A$1:$I$89,3,0)*VLOOKUP('Données projet'!$B$9,Paramètres!$A$1:$I$89,5,0)</f>
        <v>2.0910933333333332</v>
      </c>
      <c r="P4" s="14">
        <f>EXP(-1.0587+0.8836*LN(O4)+0.284)</f>
        <v>0.88437002993006919</v>
      </c>
      <c r="Q4" s="22">
        <f t="shared" ref="Q4:Q34" si="2">(O4+P4)*0.475*44/12</f>
        <v>5.1822653576837583</v>
      </c>
      <c r="R4" s="62">
        <f t="shared" si="0"/>
        <v>263.07115424657263</v>
      </c>
      <c r="S4" s="62">
        <f ca="1">AVERAGE(OFFSET($R$3,0,0,'Données projet'!$E$9+1,1))-AVERAGE(OFFSET($H$3,0,0,'Données projet'!$E$9+1,1))</f>
        <v>430.41482167204606</v>
      </c>
      <c r="T4" s="62">
        <f>$T$3</f>
        <v>177.02794100524551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12.6</v>
      </c>
      <c r="AI4" s="14">
        <f>IF('Données projet'!$A$62&gt;35,AI3+AH4-AQ3,IF(A4&lt;'Données projet'!$A$62,$AF$205^A4,IF(A4='Données projet'!$A$62,'Données projet'!$B$62,AI3+AH4-AQ3)))</f>
        <v>1.418286993802653</v>
      </c>
      <c r="AJ4" s="14">
        <f>AI4*VLOOKUP('Données projet'!$B$10,Paramètres!$A$1:$I$89,3,0)*VLOOKUP('Données projet'!$B$10,Paramètres!$A$1:$I$89,5,0)</f>
        <v>0.79282242953568305</v>
      </c>
      <c r="AK4" s="14">
        <f>EXP(-1.0587+0.8836*LN(AJ4)+0.284)</f>
        <v>0.37537376382346138</v>
      </c>
      <c r="AL4" s="22">
        <f t="shared" ref="AL4:AL67" si="4">(AJ4+AK4)*0.475*44/12</f>
        <v>2.0346083701005098</v>
      </c>
      <c r="AM4" s="62">
        <f t="shared" ref="AM4:AM67" si="5">AL4+(AD4+AE4)*44/12</f>
        <v>259.92349725898936</v>
      </c>
      <c r="AN4" s="62">
        <f ca="1">AVERAGE(OFFSET($AM$3,0,0,'Données projet'!$E$10+1,1))-AVERAGE(OFFSET($H$3,0,0,'Données projet'!$E$10+1,1))</f>
        <v>507.43397352006832</v>
      </c>
      <c r="AO4" s="62">
        <f>$AO$3</f>
        <v>631.65579929520936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5.85</v>
      </c>
      <c r="BD4" s="13">
        <f>IF('Données projet'!$A$88&gt;35,BD3+BC4-BL3,IF(A4&lt;'Données projet'!$A$88,$BA$205^A4,IF(A4='Données projet'!$A$88,'Données projet'!$B$88,BD3+BC4-BL3)))</f>
        <v>1.2688471048731957</v>
      </c>
      <c r="BE4" s="14">
        <f>BD4*VLOOKUP('Données projet'!$B$11,Paramètres!$A$1:$I$89,3,0)*VLOOKUP('Données projet'!$B$11,Paramètres!$A$1:$I$89,5,0)</f>
        <v>0.98970074180109269</v>
      </c>
      <c r="BF4" s="14">
        <f>EXP(-1.0587+0.8836*LN(BE4)+0.284)</f>
        <v>0.45664563134517483</v>
      </c>
      <c r="BG4" s="22">
        <f t="shared" ref="BG4:BG67" si="7">(BE4+BF4)*0.475*44/12</f>
        <v>2.5190532665630827</v>
      </c>
      <c r="BH4" s="62">
        <f t="shared" ref="BH4:BH67" si="8">BG4+(AY4+AZ4)*44/12</f>
        <v>260.40794215545196</v>
      </c>
      <c r="BI4" s="62">
        <f ca="1">AVERAGE(OFFSET($BH$3,0,0,'Données projet'!$E$11+1,1))-AVERAGE(OFFSET($H$3,0,0,'Données projet'!$E$11+1,1))</f>
        <v>357.65167206083379</v>
      </c>
      <c r="BJ4" s="62">
        <f>$BJ$3</f>
        <v>341.23389735986342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2.3111111111111109</v>
      </c>
      <c r="N5" s="14">
        <f>IF('Données projet'!$A$36&gt;35,N4+M5-V4,IF(A5&lt;'Données projet'!$A$36,$K$205^A5,IF(A5='Données projet'!$A$36,'Données projet'!$B$36,N4+M5-V4)))</f>
        <v>4.6222222222222218</v>
      </c>
      <c r="O5" s="14">
        <f>N5*VLOOKUP('Données projet'!$B$9,Paramètres!$A$1:$I$89,3,0)*VLOOKUP('Données projet'!$B$9,Paramètres!$A$1:$I$89,5,0)</f>
        <v>4.1821866666666665</v>
      </c>
      <c r="P5" s="14">
        <f t="shared" ref="P5:P68" si="33">EXP(-1.0587+0.8836*LN(O5)+0.284)</f>
        <v>1.6316391625380182</v>
      </c>
      <c r="Q5" s="22">
        <f t="shared" si="2"/>
        <v>10.125746652531491</v>
      </c>
      <c r="R5" s="62">
        <f t="shared" si="0"/>
        <v>269.23685776364266</v>
      </c>
      <c r="S5" s="62">
        <f ca="1">AVERAGE(OFFSET($R$3,0,0,'Données projet'!$E$9+1,1))-AVERAGE(OFFSET($H$3,0,0,'Données projet'!$E$9+1,1))</f>
        <v>430.41482167204606</v>
      </c>
      <c r="T5" s="62">
        <f t="shared" ref="T5:T68" si="34">$T$3</f>
        <v>177.02794100524551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12.6</v>
      </c>
      <c r="AI5" s="14">
        <f>IF('Données projet'!$A$62&gt;35,AI4+AH5-AQ4,IF(A5&lt;'Données projet'!$A$62,$AF$205^A5,IF(A5='Données projet'!$A$62,'Données projet'!$B$62,AI4+AH5-AQ4)))</f>
        <v>2.0115379967897669</v>
      </c>
      <c r="AJ5" s="14">
        <f>AI5*VLOOKUP('Données projet'!$B$10,Paramètres!$A$1:$I$89,3,0)*VLOOKUP('Données projet'!$B$10,Paramètres!$A$1:$I$89,5,0)</f>
        <v>1.1244497402054798</v>
      </c>
      <c r="AK5" s="14">
        <f t="shared" ref="AK5:AK68" si="35">EXP(-1.0587+0.8836*LN(AJ5)+0.284)</f>
        <v>0.51116686213755136</v>
      </c>
      <c r="AL5" s="22">
        <f t="shared" si="4"/>
        <v>2.848698915747446</v>
      </c>
      <c r="AM5" s="62">
        <f t="shared" si="5"/>
        <v>261.95981002685858</v>
      </c>
      <c r="AN5" s="62">
        <f ca="1">AVERAGE(OFFSET($AM$3,0,0,'Données projet'!$E$10+1,1))-AVERAGE(OFFSET($H$3,0,0,'Données projet'!$E$10+1,1))</f>
        <v>507.43397352006832</v>
      </c>
      <c r="AO5" s="62">
        <f t="shared" ref="AO5:AO68" si="36">$AO$3</f>
        <v>631.65579929520936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5.85</v>
      </c>
      <c r="BD5" s="13">
        <f>IF('Données projet'!$A$88&gt;35,BD4+BC5-BL4,IF(A5&lt;'Données projet'!$A$88,$BA$205^A5,IF(A5='Données projet'!$A$88,'Données projet'!$B$88,BD4+BC5-BL4)))</f>
        <v>1.6099729755450907</v>
      </c>
      <c r="BE5" s="14">
        <f>BD5*VLOOKUP('Données projet'!$B$11,Paramètres!$A$1:$I$89,3,0)*VLOOKUP('Données projet'!$B$11,Paramètres!$A$1:$I$89,5,0)</f>
        <v>1.2557789209251708</v>
      </c>
      <c r="BF5" s="14">
        <f t="shared" ref="BF5:BF68" si="37">EXP(-1.0587+0.8836*LN(BE5)+0.284)</f>
        <v>0.56357505040869538</v>
      </c>
      <c r="BG5" s="22">
        <f t="shared" si="7"/>
        <v>3.1687081667398167</v>
      </c>
      <c r="BH5" s="62">
        <f t="shared" si="8"/>
        <v>262.27981927785095</v>
      </c>
      <c r="BI5" s="62">
        <f ca="1">AVERAGE(OFFSET($BH$3,0,0,'Données projet'!$E$11+1,1))-AVERAGE(OFFSET($H$3,0,0,'Données projet'!$E$11+1,1))</f>
        <v>357.65167206083379</v>
      </c>
      <c r="BJ5" s="62">
        <f t="shared" ref="BJ5:BJ68" si="38">$BJ$3</f>
        <v>341.23389735986342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2.3111111111111109</v>
      </c>
      <c r="N6" s="14">
        <f>IF('Données projet'!$A$36&gt;35,N5+M6-V5,IF(A6&lt;'Données projet'!$A$36,$K$205^A6,IF(A6='Données projet'!$A$36,'Données projet'!$B$36,N5+M6-V5)))</f>
        <v>6.9333333333333327</v>
      </c>
      <c r="O6" s="14">
        <f>N6*VLOOKUP('Données projet'!$B$9,Paramètres!$A$1:$I$89,3,0)*VLOOKUP('Données projet'!$B$9,Paramètres!$A$1:$I$89,5,0)</f>
        <v>6.2732799999999997</v>
      </c>
      <c r="P6" s="14">
        <f t="shared" si="33"/>
        <v>2.3346315873454548</v>
      </c>
      <c r="Q6" s="22">
        <f t="shared" si="2"/>
        <v>14.992112681293335</v>
      </c>
      <c r="R6" s="62">
        <f t="shared" si="0"/>
        <v>275.32544601462666</v>
      </c>
      <c r="S6" s="62">
        <f ca="1">AVERAGE(OFFSET($R$3,0,0,'Données projet'!$E$9+1,1))-AVERAGE(OFFSET($H$3,0,0,'Données projet'!$E$9+1,1))</f>
        <v>430.41482167204606</v>
      </c>
      <c r="T6" s="62">
        <f t="shared" si="34"/>
        <v>177.02794100524551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12.6</v>
      </c>
      <c r="AI6" s="14">
        <f>IF('Données projet'!$A$62&gt;35,AI5+AH6-AQ5,IF(A6&lt;'Données projet'!$A$62,$AF$205^A6,IF(A6='Données projet'!$A$62,'Données projet'!$B$62,AI5+AH6-AQ5)))</f>
        <v>2.8529381783867689</v>
      </c>
      <c r="AJ6" s="14">
        <f>AI6*VLOOKUP('Données projet'!$B$10,Paramètres!$A$1:$I$89,3,0)*VLOOKUP('Données projet'!$B$10,Paramètres!$A$1:$I$89,5,0)</f>
        <v>1.5947924417182038</v>
      </c>
      <c r="AK6" s="14">
        <f t="shared" si="35"/>
        <v>0.69608370677295384</v>
      </c>
      <c r="AL6" s="22">
        <f t="shared" si="4"/>
        <v>3.9899426252887658</v>
      </c>
      <c r="AM6" s="62">
        <f t="shared" si="5"/>
        <v>264.32327595862211</v>
      </c>
      <c r="AN6" s="62">
        <f ca="1">AVERAGE(OFFSET($AM$3,0,0,'Données projet'!$E$10+1,1))-AVERAGE(OFFSET($H$3,0,0,'Données projet'!$E$10+1,1))</f>
        <v>507.43397352006832</v>
      </c>
      <c r="AO6" s="62">
        <f t="shared" si="36"/>
        <v>631.65579929520936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5.85</v>
      </c>
      <c r="BD6" s="13">
        <f>IF('Données projet'!$A$88&gt;35,BD5+BC6-BL5,IF(A6&lt;'Données projet'!$A$88,$BA$205^A6,IF(A6='Données projet'!$A$88,'Données projet'!$B$88,BD5+BC6-BL5)))</f>
        <v>2.0428095489444726</v>
      </c>
      <c r="BE6" s="14">
        <f>BD6*VLOOKUP('Données projet'!$B$11,Paramètres!$A$1:$I$89,3,0)*VLOOKUP('Données projet'!$B$11,Paramètres!$A$1:$I$89,5,0)</f>
        <v>1.5933914481766887</v>
      </c>
      <c r="BF6" s="14">
        <f t="shared" si="37"/>
        <v>0.69554336150668106</v>
      </c>
      <c r="BG6" s="22">
        <f t="shared" si="7"/>
        <v>3.9865614601985349</v>
      </c>
      <c r="BH6" s="62">
        <f t="shared" si="8"/>
        <v>264.31989479353183</v>
      </c>
      <c r="BI6" s="62">
        <f ca="1">AVERAGE(OFFSET($BH$3,0,0,'Données projet'!$E$11+1,1))-AVERAGE(OFFSET($H$3,0,0,'Données projet'!$E$11+1,1))</f>
        <v>357.65167206083379</v>
      </c>
      <c r="BJ6" s="62">
        <f t="shared" si="38"/>
        <v>341.23389735986342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2.3111111111111109</v>
      </c>
      <c r="N7" s="14">
        <f>IF('Données projet'!$A$36&gt;35,N6+M7-V6,IF(A7&lt;'Données projet'!$A$36,$K$205^A7,IF(A7='Données projet'!$A$36,'Données projet'!$B$36,N6+M7-V6)))</f>
        <v>9.2444444444444436</v>
      </c>
      <c r="O7" s="14">
        <f>N7*VLOOKUP('Données projet'!$B$9,Paramètres!$A$1:$I$89,3,0)*VLOOKUP('Données projet'!$B$9,Paramètres!$A$1:$I$89,5,0)</f>
        <v>8.364373333333333</v>
      </c>
      <c r="P7" s="14">
        <f t="shared" si="33"/>
        <v>3.0103308192593099</v>
      </c>
      <c r="Q7" s="22">
        <f t="shared" si="2"/>
        <v>19.810943065765517</v>
      </c>
      <c r="R7" s="62">
        <f t="shared" si="0"/>
        <v>281.36649862132106</v>
      </c>
      <c r="S7" s="62">
        <f ca="1">AVERAGE(OFFSET($R$3,0,0,'Données projet'!$E$9+1,1))-AVERAGE(OFFSET($H$3,0,0,'Données projet'!$E$9+1,1))</f>
        <v>430.41482167204606</v>
      </c>
      <c r="T7" s="62">
        <f t="shared" si="34"/>
        <v>177.02794100524551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12.6</v>
      </c>
      <c r="AI7" s="14">
        <f>IF('Données projet'!$A$62&gt;35,AI6+AH7-AQ6,IF(A7&lt;'Données projet'!$A$62,$AF$205^A7,IF(A7='Données projet'!$A$62,'Données projet'!$B$62,AI6+AH7-AQ6)))</f>
        <v>4.046285112528988</v>
      </c>
      <c r="AJ7" s="14">
        <f>AI7*VLOOKUP('Données projet'!$B$10,Paramètres!$A$1:$I$89,3,0)*VLOOKUP('Données projet'!$B$10,Paramètres!$A$1:$I$89,5,0)</f>
        <v>2.2618733779037044</v>
      </c>
      <c r="AK7" s="14">
        <f t="shared" si="35"/>
        <v>0.94789502748398335</v>
      </c>
      <c r="AL7" s="22">
        <f t="shared" si="4"/>
        <v>5.5903466393835552</v>
      </c>
      <c r="AM7" s="62">
        <f t="shared" si="5"/>
        <v>267.14590219493908</v>
      </c>
      <c r="AN7" s="62">
        <f ca="1">AVERAGE(OFFSET($AM$3,0,0,'Données projet'!$E$10+1,1))-AVERAGE(OFFSET($H$3,0,0,'Données projet'!$E$10+1,1))</f>
        <v>507.43397352006832</v>
      </c>
      <c r="AO7" s="62">
        <f t="shared" si="36"/>
        <v>631.65579929520936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5.85</v>
      </c>
      <c r="BD7" s="13">
        <f>IF('Données projet'!$A$88&gt;35,BD6+BC7-BL6,IF(A7&lt;'Données projet'!$A$88,$BA$205^A7,IF(A7='Données projet'!$A$88,'Données projet'!$B$88,BD6+BC7-BL6)))</f>
        <v>2.5920129819855133</v>
      </c>
      <c r="BE7" s="14">
        <f>BD7*VLOOKUP('Données projet'!$B$11,Paramètres!$A$1:$I$89,3,0)*VLOOKUP('Données projet'!$B$11,Paramètres!$A$1:$I$89,5,0)</f>
        <v>2.0217701259487004</v>
      </c>
      <c r="BF7" s="14">
        <f t="shared" si="37"/>
        <v>0.85841374167501538</v>
      </c>
      <c r="BG7" s="22">
        <f t="shared" si="7"/>
        <v>5.0163202361113051</v>
      </c>
      <c r="BH7" s="62">
        <f t="shared" si="8"/>
        <v>266.57187579166686</v>
      </c>
      <c r="BI7" s="62">
        <f ca="1">AVERAGE(OFFSET($BH$3,0,0,'Données projet'!$E$11+1,1))-AVERAGE(OFFSET($H$3,0,0,'Données projet'!$E$11+1,1))</f>
        <v>357.65167206083379</v>
      </c>
      <c r="BJ7" s="62">
        <f t="shared" si="38"/>
        <v>341.23389735986342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2.3111111111111109</v>
      </c>
      <c r="N8" s="14">
        <f>IF('Données projet'!$A$36&gt;35,N7+M8-V7,IF(A8&lt;'Données projet'!$A$36,$K$205^A8,IF(A8='Données projet'!$A$36,'Données projet'!$B$36,N7+M8-V7)))</f>
        <v>11.555555555555554</v>
      </c>
      <c r="O8" s="14">
        <f>N8*VLOOKUP('Données projet'!$B$9,Paramètres!$A$1:$I$89,3,0)*VLOOKUP('Données projet'!$B$9,Paramètres!$A$1:$I$89,5,0)</f>
        <v>10.455466666666664</v>
      </c>
      <c r="P8" s="14">
        <f t="shared" si="33"/>
        <v>3.6664343439918343</v>
      </c>
      <c r="Q8" s="22">
        <f t="shared" si="2"/>
        <v>24.59564426023022</v>
      </c>
      <c r="R8" s="62">
        <f t="shared" si="0"/>
        <v>287.37342203800802</v>
      </c>
      <c r="S8" s="62">
        <f ca="1">AVERAGE(OFFSET($R$3,0,0,'Données projet'!$E$9+1,1))-AVERAGE(OFFSET($H$3,0,0,'Données projet'!$E$9+1,1))</f>
        <v>430.41482167204606</v>
      </c>
      <c r="T8" s="62">
        <f t="shared" si="34"/>
        <v>177.02794100524551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12.6</v>
      </c>
      <c r="AI8" s="14">
        <f>IF('Données projet'!$A$62&gt;35,AI7+AH8-AQ7,IF(A8&lt;'Données projet'!$A$62,$AF$205^A8,IF(A8='Données projet'!$A$62,'Données projet'!$B$62,AI7+AH8-AQ7)))</f>
        <v>5.7387935483171679</v>
      </c>
      <c r="AJ8" s="14">
        <f>AI8*VLOOKUP('Données projet'!$B$10,Paramètres!$A$1:$I$89,3,0)*VLOOKUP('Données projet'!$B$10,Paramètres!$A$1:$I$89,5,0)</f>
        <v>3.2079855935092971</v>
      </c>
      <c r="AK8" s="14">
        <f t="shared" si="35"/>
        <v>1.2908001931180566</v>
      </c>
      <c r="AL8" s="22">
        <f t="shared" si="4"/>
        <v>7.83538524504264</v>
      </c>
      <c r="AM8" s="62">
        <f t="shared" si="5"/>
        <v>270.6131630228204</v>
      </c>
      <c r="AN8" s="62">
        <f ca="1">AVERAGE(OFFSET($AM$3,0,0,'Données projet'!$E$10+1,1))-AVERAGE(OFFSET($H$3,0,0,'Données projet'!$E$10+1,1))</f>
        <v>507.43397352006832</v>
      </c>
      <c r="AO8" s="62">
        <f t="shared" si="36"/>
        <v>631.65579929520936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5.85</v>
      </c>
      <c r="BD8" s="13">
        <f>IF('Données projet'!$A$88&gt;35,BD7+BC8-BL7,IF(A8&lt;'Données projet'!$A$88,$BA$205^A8,IF(A8='Données projet'!$A$88,'Données projet'!$B$88,BD7+BC8-BL7)))</f>
        <v>3.2888681679860574</v>
      </c>
      <c r="BE8" s="14">
        <f>BD8*VLOOKUP('Données projet'!$B$11,Paramètres!$A$1:$I$89,3,0)*VLOOKUP('Données projet'!$B$11,Paramètres!$A$1:$I$89,5,0)</f>
        <v>2.5653171710291249</v>
      </c>
      <c r="BF8" s="14">
        <f t="shared" si="37"/>
        <v>1.0594223058937526</v>
      </c>
      <c r="BG8" s="22">
        <f t="shared" si="7"/>
        <v>6.3130879223073455</v>
      </c>
      <c r="BH8" s="62">
        <f t="shared" si="8"/>
        <v>269.09086570008509</v>
      </c>
      <c r="BI8" s="62">
        <f ca="1">AVERAGE(OFFSET($BH$3,0,0,'Données projet'!$E$11+1,1))-AVERAGE(OFFSET($H$3,0,0,'Données projet'!$E$11+1,1))</f>
        <v>357.65167206083379</v>
      </c>
      <c r="BJ8" s="62">
        <f t="shared" si="38"/>
        <v>341.23389735986342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2.3111111111111109</v>
      </c>
      <c r="N9" s="14">
        <f>IF('Données projet'!$A$36&gt;35,N8+M9-V8,IF(A9&lt;'Données projet'!$A$36,$K$205^A9,IF(A9='Données projet'!$A$36,'Données projet'!$B$36,N8+M9-V8)))</f>
        <v>13.866666666666664</v>
      </c>
      <c r="O9" s="14">
        <f>N9*VLOOKUP('Données projet'!$B$9,Paramètres!$A$1:$I$89,3,0)*VLOOKUP('Données projet'!$B$9,Paramètres!$A$1:$I$89,5,0)</f>
        <v>12.546559999999996</v>
      </c>
      <c r="P9" s="14">
        <f t="shared" si="33"/>
        <v>4.3073331287723056</v>
      </c>
      <c r="Q9" s="22">
        <f t="shared" si="2"/>
        <v>29.35386386594509</v>
      </c>
      <c r="R9" s="62">
        <f t="shared" si="0"/>
        <v>293.35386386594507</v>
      </c>
      <c r="S9" s="62">
        <f ca="1">AVERAGE(OFFSET($R$3,0,0,'Données projet'!$E$9+1,1))-AVERAGE(OFFSET($H$3,0,0,'Données projet'!$E$9+1,1))</f>
        <v>430.41482167204606</v>
      </c>
      <c r="T9" s="62">
        <f t="shared" si="34"/>
        <v>177.02794100524551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12.6</v>
      </c>
      <c r="AI9" s="14">
        <f>IF('Données projet'!$A$62&gt;35,AI8+AH9-AQ8,IF(A9&lt;'Données projet'!$A$62,$AF$205^A9,IF(A9='Données projet'!$A$62,'Données projet'!$B$62,AI8+AH9-AQ8)))</f>
        <v>8.1392562496968175</v>
      </c>
      <c r="AJ9" s="14">
        <f>AI9*VLOOKUP('Données projet'!$B$10,Paramètres!$A$1:$I$89,3,0)*VLOOKUP('Données projet'!$B$10,Paramètres!$A$1:$I$89,5,0)</f>
        <v>4.5498442435805213</v>
      </c>
      <c r="AK9" s="14">
        <f t="shared" si="35"/>
        <v>1.7577527998813831</v>
      </c>
      <c r="AL9" s="22">
        <f t="shared" si="4"/>
        <v>10.985731517362817</v>
      </c>
      <c r="AM9" s="62">
        <f t="shared" si="5"/>
        <v>274.98573151736281</v>
      </c>
      <c r="AN9" s="62">
        <f ca="1">AVERAGE(OFFSET($AM$3,0,0,'Données projet'!$E$10+1,1))-AVERAGE(OFFSET($H$3,0,0,'Données projet'!$E$10+1,1))</f>
        <v>507.43397352006832</v>
      </c>
      <c r="AO9" s="62">
        <f t="shared" si="36"/>
        <v>631.65579929520936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5.85</v>
      </c>
      <c r="BD9" s="13">
        <f>IF('Données projet'!$A$88&gt;35,BD8+BC9-BL8,IF(A9&lt;'Données projet'!$A$88,$BA$205^A9,IF(A9='Données projet'!$A$88,'Données projet'!$B$88,BD8+BC9-BL8)))</f>
        <v>4.1730708532587206</v>
      </c>
      <c r="BE9" s="14">
        <f>BD9*VLOOKUP('Données projet'!$B$11,Paramètres!$A$1:$I$89,3,0)*VLOOKUP('Données projet'!$B$11,Paramètres!$A$1:$I$89,5,0)</f>
        <v>3.2549952655418024</v>
      </c>
      <c r="BF9" s="14">
        <f t="shared" si="37"/>
        <v>1.3074995980786071</v>
      </c>
      <c r="BG9" s="22">
        <f t="shared" si="7"/>
        <v>7.9463452208055463</v>
      </c>
      <c r="BH9" s="62">
        <f t="shared" si="8"/>
        <v>271.94634522080554</v>
      </c>
      <c r="BI9" s="62">
        <f ca="1">AVERAGE(OFFSET($BH$3,0,0,'Données projet'!$E$11+1,1))-AVERAGE(OFFSET($H$3,0,0,'Données projet'!$E$11+1,1))</f>
        <v>357.65167206083379</v>
      </c>
      <c r="BJ9" s="62">
        <f t="shared" si="38"/>
        <v>341.23389735986342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2.3111111111111109</v>
      </c>
      <c r="N10" s="14">
        <f>IF('Données projet'!$A$36&gt;35,N9+M10-V9,IF(A10&lt;'Données projet'!$A$36,$K$205^A10,IF(A10='Données projet'!$A$36,'Données projet'!$B$36,N9+M10-V9)))</f>
        <v>16.177777777777774</v>
      </c>
      <c r="O10" s="14">
        <f>N10*VLOOKUP('Données projet'!$B$9,Paramètres!$A$1:$I$89,3,0)*VLOOKUP('Données projet'!$B$9,Paramètres!$A$1:$I$89,5,0)</f>
        <v>14.637653333333327</v>
      </c>
      <c r="P10" s="14">
        <f t="shared" si="33"/>
        <v>4.9358578603942096</v>
      </c>
      <c r="Q10" s="22">
        <f t="shared" si="2"/>
        <v>34.090531995742133</v>
      </c>
      <c r="R10" s="62">
        <f t="shared" si="0"/>
        <v>299.31275421796437</v>
      </c>
      <c r="S10" s="62">
        <f ca="1">AVERAGE(OFFSET($R$3,0,0,'Données projet'!$E$9+1,1))-AVERAGE(OFFSET($H$3,0,0,'Données projet'!$E$9+1,1))</f>
        <v>430.41482167204606</v>
      </c>
      <c r="T10" s="62">
        <f t="shared" si="34"/>
        <v>177.02794100524551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12.6</v>
      </c>
      <c r="AI10" s="14">
        <f>IF('Données projet'!$A$62&gt;35,AI9+AH10-AQ9,IF(A10&lt;'Données projet'!$A$62,$AF$205^A10,IF(A10='Données projet'!$A$62,'Données projet'!$B$62,AI9+AH10-AQ9)))</f>
        <v>11.543801278171953</v>
      </c>
      <c r="AJ10" s="14">
        <f>AI10*VLOOKUP('Données projet'!$B$10,Paramètres!$A$1:$I$89,3,0)*VLOOKUP('Données projet'!$B$10,Paramètres!$A$1:$I$89,5,0)</f>
        <v>6.4529849144981215</v>
      </c>
      <c r="AK10" s="14">
        <f t="shared" si="35"/>
        <v>2.3936275513155714</v>
      </c>
      <c r="AL10" s="22">
        <f t="shared" si="4"/>
        <v>15.407850044625512</v>
      </c>
      <c r="AM10" s="62">
        <f t="shared" si="5"/>
        <v>280.63007226684772</v>
      </c>
      <c r="AN10" s="62">
        <f ca="1">AVERAGE(OFFSET($AM$3,0,0,'Données projet'!$E$10+1,1))-AVERAGE(OFFSET($H$3,0,0,'Données projet'!$E$10+1,1))</f>
        <v>507.43397352006832</v>
      </c>
      <c r="AO10" s="62">
        <f t="shared" si="36"/>
        <v>631.65579929520936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5.85</v>
      </c>
      <c r="BD10" s="13">
        <f>IF('Données projet'!$A$88&gt;35,BD9+BC10-BL9,IF(A10&lt;'Données projet'!$A$88,$BA$205^A10,IF(A10='Données projet'!$A$88,'Données projet'!$B$88,BD9+BC10-BL9)))</f>
        <v>5.2949888705880443</v>
      </c>
      <c r="BE10" s="14">
        <f>BD10*VLOOKUP('Données projet'!$B$11,Paramètres!$A$1:$I$89,3,0)*VLOOKUP('Données projet'!$B$11,Paramètres!$A$1:$I$89,5,0)</f>
        <v>4.1300913190586748</v>
      </c>
      <c r="BF10" s="14">
        <f t="shared" si="37"/>
        <v>1.6136673633027767</v>
      </c>
      <c r="BG10" s="22">
        <f t="shared" si="7"/>
        <v>10.003713038446195</v>
      </c>
      <c r="BH10" s="62">
        <f t="shared" si="8"/>
        <v>275.22593526066845</v>
      </c>
      <c r="BI10" s="62">
        <f ca="1">AVERAGE(OFFSET($BH$3,0,0,'Données projet'!$E$11+1,1))-AVERAGE(OFFSET($H$3,0,0,'Données projet'!$E$11+1,1))</f>
        <v>357.65167206083379</v>
      </c>
      <c r="BJ10" s="62">
        <f t="shared" si="38"/>
        <v>341.23389735986342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2.3111111111111109</v>
      </c>
      <c r="N11" s="14">
        <f>IF('Données projet'!$A$36&gt;35,N10+M11-V10,IF(A11&lt;'Données projet'!$A$36,$K$205^A11,IF(A11='Données projet'!$A$36,'Données projet'!$B$36,N10+M11-V10)))</f>
        <v>18.488888888888884</v>
      </c>
      <c r="O11" s="14">
        <f>N11*VLOOKUP('Données projet'!$B$9,Paramètres!$A$1:$I$89,3,0)*VLOOKUP('Données projet'!$B$9,Paramètres!$A$1:$I$89,5,0)</f>
        <v>16.728746666666659</v>
      </c>
      <c r="P11" s="14">
        <f t="shared" si="33"/>
        <v>5.5539802239646665</v>
      </c>
      <c r="Q11" s="22">
        <f t="shared" si="2"/>
        <v>38.809082667849559</v>
      </c>
      <c r="R11" s="62">
        <f t="shared" si="0"/>
        <v>305.25352711229402</v>
      </c>
      <c r="S11" s="62">
        <f ca="1">AVERAGE(OFFSET($R$3,0,0,'Données projet'!$E$9+1,1))-AVERAGE(OFFSET($H$3,0,0,'Données projet'!$E$9+1,1))</f>
        <v>430.41482167204606</v>
      </c>
      <c r="T11" s="62">
        <f t="shared" si="34"/>
        <v>177.02794100524551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12.6</v>
      </c>
      <c r="AI11" s="14">
        <f>IF('Données projet'!$A$62&gt;35,AI10+AH11-AQ10,IF(A11&lt;'Données projet'!$A$62,$AF$205^A11,IF(A11='Données projet'!$A$62,'Données projet'!$B$62,AI10+AH11-AQ10)))</f>
        <v>16.372423211873727</v>
      </c>
      <c r="AJ11" s="14">
        <f>AI11*VLOOKUP('Données projet'!$B$10,Paramètres!$A$1:$I$89,3,0)*VLOOKUP('Données projet'!$B$10,Paramètres!$A$1:$I$89,5,0)</f>
        <v>9.1521845754374134</v>
      </c>
      <c r="AK11" s="14">
        <f t="shared" si="35"/>
        <v>3.2595327709354898</v>
      </c>
      <c r="AL11" s="22">
        <f t="shared" si="4"/>
        <v>21.617074378266139</v>
      </c>
      <c r="AM11" s="62">
        <f t="shared" si="5"/>
        <v>288.06151882271058</v>
      </c>
      <c r="AN11" s="62">
        <f ca="1">AVERAGE(OFFSET($AM$3,0,0,'Données projet'!$E$10+1,1))-AVERAGE(OFFSET($H$3,0,0,'Données projet'!$E$10+1,1))</f>
        <v>507.43397352006832</v>
      </c>
      <c r="AO11" s="62">
        <f t="shared" si="36"/>
        <v>631.65579929520936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5.85</v>
      </c>
      <c r="BD11" s="13">
        <f>IF('Données projet'!$A$88&gt;35,BD10+BC11-BL10,IF(A11&lt;'Données projet'!$A$88,$BA$205^A11,IF(A11='Données projet'!$A$88,'Données projet'!$B$88,BD10+BC11-BL10)))</f>
        <v>6.718531298781433</v>
      </c>
      <c r="BE11" s="14">
        <f>BD11*VLOOKUP('Données projet'!$B$11,Paramètres!$A$1:$I$89,3,0)*VLOOKUP('Données projet'!$B$11,Paramètres!$A$1:$I$89,5,0)</f>
        <v>5.2404544130495179</v>
      </c>
      <c r="BF11" s="14">
        <f t="shared" si="37"/>
        <v>1.9915282293126844</v>
      </c>
      <c r="BG11" s="22">
        <f t="shared" si="7"/>
        <v>12.59570310211417</v>
      </c>
      <c r="BH11" s="62">
        <f t="shared" si="8"/>
        <v>279.04014754655861</v>
      </c>
      <c r="BI11" s="62">
        <f ca="1">AVERAGE(OFFSET($BH$3,0,0,'Données projet'!$E$11+1,1))-AVERAGE(OFFSET($H$3,0,0,'Données projet'!$E$11+1,1))</f>
        <v>357.65167206083379</v>
      </c>
      <c r="BJ11" s="62">
        <f t="shared" si="38"/>
        <v>341.23389735986342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2.3111111111111109</v>
      </c>
      <c r="N12" s="14">
        <f>IF('Données projet'!$A$36&gt;35,N11+M12-V11,IF(A12&lt;'Données projet'!$A$36,$K$205^A12,IF(A12='Données projet'!$A$36,'Données projet'!$B$36,N11+M12-V11)))</f>
        <v>20.799999999999994</v>
      </c>
      <c r="O12" s="14">
        <f>N12*VLOOKUP('Données projet'!$B$9,Paramètres!$A$1:$I$89,3,0)*VLOOKUP('Données projet'!$B$9,Paramètres!$A$1:$I$89,5,0)</f>
        <v>18.819839999999992</v>
      </c>
      <c r="P12" s="14">
        <f t="shared" si="33"/>
        <v>6.1631494331192478</v>
      </c>
      <c r="Q12" s="22">
        <f t="shared" si="2"/>
        <v>43.512039929349349</v>
      </c>
      <c r="R12" s="62">
        <f t="shared" si="0"/>
        <v>311.17870659601601</v>
      </c>
      <c r="S12" s="62">
        <f ca="1">AVERAGE(OFFSET($R$3,0,0,'Données projet'!$E$9+1,1))-AVERAGE(OFFSET($H$3,0,0,'Données projet'!$E$9+1,1))</f>
        <v>430.41482167204606</v>
      </c>
      <c r="T12" s="62">
        <f t="shared" si="34"/>
        <v>177.02794100524551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12.6</v>
      </c>
      <c r="AI12" s="14">
        <f>IF('Données projet'!$A$62&gt;35,AI11+AH12-AQ11,IF(A12&lt;'Données projet'!$A$62,$AF$205^A12,IF(A12='Données projet'!$A$62,'Données projet'!$B$62,AI11+AH12-AQ11)))</f>
        <v>23.220794898433166</v>
      </c>
      <c r="AJ12" s="14">
        <f>AI12*VLOOKUP('Données projet'!$B$10,Paramètres!$A$1:$I$89,3,0)*VLOOKUP('Données projet'!$B$10,Paramètres!$A$1:$I$89,5,0)</f>
        <v>12.98042434822414</v>
      </c>
      <c r="AK12" s="14">
        <f t="shared" si="35"/>
        <v>4.4386829851465368</v>
      </c>
      <c r="AL12" s="22">
        <f t="shared" si="4"/>
        <v>30.338278605620587</v>
      </c>
      <c r="AM12" s="62">
        <f t="shared" si="5"/>
        <v>298.00494527228727</v>
      </c>
      <c r="AN12" s="62">
        <f ca="1">AVERAGE(OFFSET($AM$3,0,0,'Données projet'!$E$10+1,1))-AVERAGE(OFFSET($H$3,0,0,'Données projet'!$E$10+1,1))</f>
        <v>507.43397352006832</v>
      </c>
      <c r="AO12" s="62">
        <f t="shared" si="36"/>
        <v>631.65579929520936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5.85</v>
      </c>
      <c r="BD12" s="13">
        <f>IF('Données projet'!$A$88&gt;35,BD11+BC12-BL11,IF(A12&lt;'Données projet'!$A$88,$BA$205^A12,IF(A12='Données projet'!$A$88,'Données projet'!$B$88,BD11+BC12-BL11)))</f>
        <v>8.5247889874587734</v>
      </c>
      <c r="BE12" s="14">
        <f>BD12*VLOOKUP('Données projet'!$B$11,Paramètres!$A$1:$I$89,3,0)*VLOOKUP('Données projet'!$B$11,Paramètres!$A$1:$I$89,5,0)</f>
        <v>6.6493354102178435</v>
      </c>
      <c r="BF12" s="14">
        <f t="shared" si="37"/>
        <v>2.4578700532379361</v>
      </c>
      <c r="BG12" s="22">
        <f t="shared" si="7"/>
        <v>15.86171618218548</v>
      </c>
      <c r="BH12" s="62">
        <f t="shared" si="8"/>
        <v>283.52838284885217</v>
      </c>
      <c r="BI12" s="62">
        <f ca="1">AVERAGE(OFFSET($BH$3,0,0,'Données projet'!$E$11+1,1))-AVERAGE(OFFSET($H$3,0,0,'Données projet'!$E$11+1,1))</f>
        <v>357.65167206083379</v>
      </c>
      <c r="BJ12" s="62">
        <f t="shared" si="38"/>
        <v>341.23389735986342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2.3111111111111109</v>
      </c>
      <c r="N13" s="14">
        <f>IF('Données projet'!$A$36&gt;35,N12+M13-V12,IF(A13&lt;'Données projet'!$A$36,$K$205^A13,IF(A13='Données projet'!$A$36,'Données projet'!$B$36,N12+M13-V12)))</f>
        <v>23.111111111111104</v>
      </c>
      <c r="O13" s="14">
        <f>N13*VLOOKUP('Données projet'!$B$9,Paramètres!$A$1:$I$89,3,0)*VLOOKUP('Données projet'!$B$9,Paramètres!$A$1:$I$89,5,0)</f>
        <v>20.910933333333325</v>
      </c>
      <c r="P13" s="14">
        <f t="shared" si="33"/>
        <v>6.7644737610618826</v>
      </c>
      <c r="Q13" s="22">
        <f t="shared" si="2"/>
        <v>48.201334022738315</v>
      </c>
      <c r="R13" s="62">
        <f t="shared" si="0"/>
        <v>317.09022291162717</v>
      </c>
      <c r="S13" s="62">
        <f ca="1">AVERAGE(OFFSET($R$3,0,0,'Données projet'!$E$9+1,1))-AVERAGE(OFFSET($H$3,0,0,'Données projet'!$E$9+1,1))</f>
        <v>430.41482167204606</v>
      </c>
      <c r="T13" s="62">
        <f t="shared" si="34"/>
        <v>177.02794100524551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12.6</v>
      </c>
      <c r="AI13" s="14">
        <f>IF('Données projet'!$A$62&gt;35,AI12+AH13-AQ12,IF(A13&lt;'Données projet'!$A$62,$AF$205^A13,IF(A13='Données projet'!$A$62,'Données projet'!$B$62,AI12+AH13-AQ12)))</f>
        <v>32.933751390206758</v>
      </c>
      <c r="AJ13" s="14">
        <f>AI13*VLOOKUP('Données projet'!$B$10,Paramètres!$A$1:$I$89,3,0)*VLOOKUP('Données projet'!$B$10,Paramètres!$A$1:$I$89,5,0)</f>
        <v>18.409967027125578</v>
      </c>
      <c r="AK13" s="14">
        <f t="shared" si="35"/>
        <v>6.0443959386777069</v>
      </c>
      <c r="AL13" s="22">
        <f t="shared" si="4"/>
        <v>42.591348832107379</v>
      </c>
      <c r="AM13" s="62">
        <f t="shared" si="5"/>
        <v>311.48023772099623</v>
      </c>
      <c r="AN13" s="62">
        <f ca="1">AVERAGE(OFFSET($AM$3,0,0,'Données projet'!$E$10+1,1))-AVERAGE(OFFSET($H$3,0,0,'Données projet'!$E$10+1,1))</f>
        <v>507.43397352006832</v>
      </c>
      <c r="AO13" s="62">
        <f t="shared" si="36"/>
        <v>631.65579929520936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5.85</v>
      </c>
      <c r="BD13" s="13">
        <f>IF('Données projet'!$A$88&gt;35,BD12+BC13-BL12,IF(A13&lt;'Données projet'!$A$88,$BA$205^A13,IF(A13='Données projet'!$A$88,'Données projet'!$B$88,BD12+BC13-BL12)))</f>
        <v>10.816653826391967</v>
      </c>
      <c r="BE13" s="14">
        <f>BD13*VLOOKUP('Données projet'!$B$11,Paramètres!$A$1:$I$89,3,0)*VLOOKUP('Données projet'!$B$11,Paramètres!$A$1:$I$89,5,0)</f>
        <v>8.4369899845857343</v>
      </c>
      <c r="BF13" s="14">
        <f t="shared" si="37"/>
        <v>3.0334117838182832</v>
      </c>
      <c r="BG13" s="22">
        <f t="shared" si="7"/>
        <v>19.977616413303661</v>
      </c>
      <c r="BH13" s="62">
        <f t="shared" si="8"/>
        <v>288.86650530219254</v>
      </c>
      <c r="BI13" s="62">
        <f ca="1">AVERAGE(OFFSET($BH$3,0,0,'Données projet'!$E$11+1,1))-AVERAGE(OFFSET($H$3,0,0,'Données projet'!$E$11+1,1))</f>
        <v>357.65167206083379</v>
      </c>
      <c r="BJ13" s="62">
        <f t="shared" si="38"/>
        <v>341.23389735986342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2.3111111111111109</v>
      </c>
      <c r="N14" s="14">
        <f>IF('Données projet'!$A$36&gt;35,N13+M14-V13,IF(A14&lt;'Données projet'!$A$36,$K$205^A14,IF(A14='Données projet'!$A$36,'Données projet'!$B$36,N13+M14-V13)))</f>
        <v>25.422222222222214</v>
      </c>
      <c r="O14" s="14">
        <f>N14*VLOOKUP('Données projet'!$B$9,Paramètres!$A$1:$I$89,3,0)*VLOOKUP('Données projet'!$B$9,Paramètres!$A$1:$I$89,5,0)</f>
        <v>23.002026666666655</v>
      </c>
      <c r="P14" s="14">
        <f t="shared" si="33"/>
        <v>7.3588269997940587</v>
      </c>
      <c r="Q14" s="22">
        <f t="shared" si="2"/>
        <v>52.878486802419069</v>
      </c>
      <c r="R14" s="62">
        <f t="shared" si="0"/>
        <v>322.98959791353019</v>
      </c>
      <c r="S14" s="62">
        <f ca="1">AVERAGE(OFFSET($R$3,0,0,'Données projet'!$E$9+1,1))-AVERAGE(OFFSET($H$3,0,0,'Données projet'!$E$9+1,1))</f>
        <v>430.41482167204606</v>
      </c>
      <c r="T14" s="62">
        <f t="shared" si="34"/>
        <v>177.02794100524551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12.6</v>
      </c>
      <c r="AI14" s="14">
        <f>IF('Données projet'!$A$62&gt;35,AI13+AH14-AQ13,IF(A14&lt;'Données projet'!$A$62,$AF$205^A14,IF(A14='Données projet'!$A$62,'Données projet'!$B$62,AI13+AH14-AQ13)))</f>
        <v>46.709511253860285</v>
      </c>
      <c r="AJ14" s="14">
        <f>AI14*VLOOKUP('Données projet'!$B$10,Paramètres!$A$1:$I$89,3,0)*VLOOKUP('Données projet'!$B$10,Paramètres!$A$1:$I$89,5,0)</f>
        <v>26.110616790907901</v>
      </c>
      <c r="AK14" s="14">
        <f t="shared" si="35"/>
        <v>8.2309825652704038</v>
      </c>
      <c r="AL14" s="22">
        <f t="shared" si="4"/>
        <v>59.811618878677223</v>
      </c>
      <c r="AM14" s="62">
        <f t="shared" si="5"/>
        <v>329.92272998978837</v>
      </c>
      <c r="AN14" s="62">
        <f ca="1">AVERAGE(OFFSET($AM$3,0,0,'Données projet'!$E$10+1,1))-AVERAGE(OFFSET($H$3,0,0,'Données projet'!$E$10+1,1))</f>
        <v>507.43397352006832</v>
      </c>
      <c r="AO14" s="62">
        <f t="shared" si="36"/>
        <v>631.65579929520936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5.85</v>
      </c>
      <c r="BD14" s="13">
        <f>IF('Données projet'!$A$88&gt;35,BD13+BC14-BL13,IF(A14&lt;'Données projet'!$A$88,$BA$205^A14,IF(A14='Données projet'!$A$88,'Données projet'!$B$88,BD13+BC14-BL13)))</f>
        <v>13.724679892033022</v>
      </c>
      <c r="BE14" s="14">
        <f>BD14*VLOOKUP('Données projet'!$B$11,Paramètres!$A$1:$I$89,3,0)*VLOOKUP('Données projet'!$B$11,Paramètres!$A$1:$I$89,5,0)</f>
        <v>10.705250315785758</v>
      </c>
      <c r="BF14" s="14">
        <f t="shared" si="37"/>
        <v>3.7437239768171127</v>
      </c>
      <c r="BG14" s="22">
        <f t="shared" si="7"/>
        <v>25.165296892949996</v>
      </c>
      <c r="BH14" s="62">
        <f t="shared" si="8"/>
        <v>295.27640800406112</v>
      </c>
      <c r="BI14" s="62">
        <f ca="1">AVERAGE(OFFSET($BH$3,0,0,'Données projet'!$E$11+1,1))-AVERAGE(OFFSET($H$3,0,0,'Données projet'!$E$11+1,1))</f>
        <v>357.65167206083379</v>
      </c>
      <c r="BJ14" s="62">
        <f t="shared" si="38"/>
        <v>341.23389735986342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2.3111111111111109</v>
      </c>
      <c r="N15" s="14">
        <f>IF('Données projet'!$A$36&gt;35,N14+M15-V14,IF(A15&lt;'Données projet'!$A$36,$K$205^A15,IF(A15='Données projet'!$A$36,'Données projet'!$B$36,N14+M15-V14)))</f>
        <v>27.733333333333324</v>
      </c>
      <c r="O15" s="14">
        <f>N15*VLOOKUP('Données projet'!$B$9,Paramètres!$A$1:$I$89,3,0)*VLOOKUP('Données projet'!$B$9,Paramètres!$A$1:$I$89,5,0)</f>
        <v>25.093119999999992</v>
      </c>
      <c r="P15" s="14">
        <f t="shared" si="33"/>
        <v>7.9469149577106757</v>
      </c>
      <c r="Q15" s="22">
        <f t="shared" si="2"/>
        <v>57.544727551346078</v>
      </c>
      <c r="R15" s="62">
        <f t="shared" si="0"/>
        <v>328.87806088467937</v>
      </c>
      <c r="S15" s="62">
        <f ca="1">AVERAGE(OFFSET($R$3,0,0,'Données projet'!$E$9+1,1))-AVERAGE(OFFSET($H$3,0,0,'Données projet'!$E$9+1,1))</f>
        <v>430.41482167204606</v>
      </c>
      <c r="T15" s="62">
        <f t="shared" si="34"/>
        <v>177.02794100524551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12.6</v>
      </c>
      <c r="AI15" s="14">
        <f>IF('Données projet'!$A$62&gt;35,AI14+AH15-AQ14,IF(A15&lt;'Données projet'!$A$62,$AF$205^A15,IF(A15='Données projet'!$A$62,'Données projet'!$B$62,AI14+AH15-AQ14)))</f>
        <v>66.247492298228693</v>
      </c>
      <c r="AJ15" s="14">
        <f>AI15*VLOOKUP('Données projet'!$B$10,Paramètres!$A$1:$I$89,3,0)*VLOOKUP('Données projet'!$B$10,Paramètres!$A$1:$I$89,5,0)</f>
        <v>37.03234819470984</v>
      </c>
      <c r="AK15" s="14">
        <f t="shared" si="35"/>
        <v>11.20857645282026</v>
      </c>
      <c r="AL15" s="22">
        <f t="shared" si="4"/>
        <v>84.019610427781586</v>
      </c>
      <c r="AM15" s="62">
        <f t="shared" si="5"/>
        <v>355.35294376111489</v>
      </c>
      <c r="AN15" s="62">
        <f ca="1">AVERAGE(OFFSET($AM$3,0,0,'Données projet'!$E$10+1,1))-AVERAGE(OFFSET($H$3,0,0,'Données projet'!$E$10+1,1))</f>
        <v>507.43397352006832</v>
      </c>
      <c r="AO15" s="62">
        <f t="shared" si="36"/>
        <v>631.65579929520936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5.85</v>
      </c>
      <c r="BD15" s="13">
        <f>IF('Données projet'!$A$88&gt;35,BD14+BC15-BL14,IF(A15&lt;'Données projet'!$A$88,$BA$205^A15,IF(A15='Données projet'!$A$88,'Données projet'!$B$88,BD14+BC15-BL14)))</f>
        <v>17.414520346317467</v>
      </c>
      <c r="BE15" s="14">
        <f>BD15*VLOOKUP('Données projet'!$B$11,Paramètres!$A$1:$I$89,3,0)*VLOOKUP('Données projet'!$B$11,Paramètres!$A$1:$I$89,5,0)</f>
        <v>13.583325870127625</v>
      </c>
      <c r="BF15" s="14">
        <f t="shared" si="37"/>
        <v>4.6203648609004491</v>
      </c>
      <c r="BG15" s="22">
        <f t="shared" si="7"/>
        <v>31.704761356540562</v>
      </c>
      <c r="BH15" s="62">
        <f t="shared" si="8"/>
        <v>303.0380946898739</v>
      </c>
      <c r="BI15" s="62">
        <f ca="1">AVERAGE(OFFSET($BH$3,0,0,'Données projet'!$E$11+1,1))-AVERAGE(OFFSET($H$3,0,0,'Données projet'!$E$11+1,1))</f>
        <v>357.65167206083379</v>
      </c>
      <c r="BJ15" s="62">
        <f t="shared" si="38"/>
        <v>341.23389735986342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2.3111111111111109</v>
      </c>
      <c r="N16" s="14">
        <f>IF('Données projet'!$A$36&gt;35,N15+M16-V15,IF(A16&lt;'Données projet'!$A$36,$K$205^A16,IF(A16='Données projet'!$A$36,'Données projet'!$B$36,N15+M16-V15)))</f>
        <v>30.044444444444434</v>
      </c>
      <c r="O16" s="14">
        <f>N16*VLOOKUP('Données projet'!$B$9,Paramètres!$A$1:$I$89,3,0)*VLOOKUP('Données projet'!$B$9,Paramètres!$A$1:$I$89,5,0)</f>
        <v>27.184213333333325</v>
      </c>
      <c r="P16" s="14">
        <f t="shared" si="33"/>
        <v>8.529319100445365</v>
      </c>
      <c r="Q16" s="22">
        <f t="shared" si="2"/>
        <v>62.201068988831217</v>
      </c>
      <c r="R16" s="62">
        <f t="shared" si="0"/>
        <v>334.75662454438674</v>
      </c>
      <c r="S16" s="62">
        <f ca="1">AVERAGE(OFFSET($R$3,0,0,'Données projet'!$E$9+1,1))-AVERAGE(OFFSET($H$3,0,0,'Données projet'!$E$9+1,1))</f>
        <v>430.41482167204606</v>
      </c>
      <c r="T16" s="62">
        <f t="shared" si="34"/>
        <v>177.02794100524551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12.6</v>
      </c>
      <c r="AI16" s="14">
        <f>IF('Données projet'!$A$62&gt;35,AI15+AH16-AQ15,IF(A16&lt;'Données projet'!$A$62,$AF$205^A16,IF(A16='Données projet'!$A$62,'Données projet'!$B$62,AI15+AH16-AQ15)))</f>
        <v>93.957956698619185</v>
      </c>
      <c r="AJ16" s="14">
        <f>AI16*VLOOKUP('Données projet'!$B$10,Paramètres!$A$1:$I$89,3,0)*VLOOKUP('Données projet'!$B$10,Paramètres!$A$1:$I$89,5,0)</f>
        <v>52.522497794528128</v>
      </c>
      <c r="AK16" s="14">
        <f t="shared" si="35"/>
        <v>15.263327932294025</v>
      </c>
      <c r="AL16" s="22">
        <f t="shared" si="4"/>
        <v>118.06031314088193</v>
      </c>
      <c r="AM16" s="62">
        <f t="shared" si="5"/>
        <v>390.61586869643747</v>
      </c>
      <c r="AN16" s="62">
        <f ca="1">AVERAGE(OFFSET($AM$3,0,0,'Données projet'!$E$10+1,1))-AVERAGE(OFFSET($H$3,0,0,'Données projet'!$E$10+1,1))</f>
        <v>507.43397352006832</v>
      </c>
      <c r="AO16" s="62">
        <f t="shared" si="36"/>
        <v>631.65579929520936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5.85</v>
      </c>
      <c r="BD16" s="13">
        <f>IF('Données projet'!$A$88&gt;35,BD15+BC16-BL15,IF(A16&lt;'Données projet'!$A$88,$BA$205^A16,IF(A16='Données projet'!$A$88,'Données projet'!$B$88,BD15+BC16-BL15)))</f>
        <v>22.096363724180279</v>
      </c>
      <c r="BE16" s="14">
        <f>BD16*VLOOKUP('Données projet'!$B$11,Paramètres!$A$1:$I$89,3,0)*VLOOKUP('Données projet'!$B$11,Paramètres!$A$1:$I$89,5,0)</f>
        <v>17.235163704860618</v>
      </c>
      <c r="BF16" s="14">
        <f t="shared" si="37"/>
        <v>5.7022824278817001</v>
      </c>
      <c r="BG16" s="22">
        <f t="shared" si="7"/>
        <v>39.949385347859533</v>
      </c>
      <c r="BH16" s="62">
        <f t="shared" si="8"/>
        <v>312.5049409034151</v>
      </c>
      <c r="BI16" s="62">
        <f ca="1">AVERAGE(OFFSET($BH$3,0,0,'Données projet'!$E$11+1,1))-AVERAGE(OFFSET($H$3,0,0,'Données projet'!$E$11+1,1))</f>
        <v>357.65167206083379</v>
      </c>
      <c r="BJ16" s="62">
        <f t="shared" si="38"/>
        <v>341.23389735986342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2.3111111111111109</v>
      </c>
      <c r="N17" s="14">
        <f>IF('Données projet'!$A$36&gt;35,N16+M17-V16,IF(A17&lt;'Données projet'!$A$36,$K$205^A17,IF(A17='Données projet'!$A$36,'Données projet'!$B$36,N16+M17-V16)))</f>
        <v>32.355555555555547</v>
      </c>
      <c r="O17" s="14">
        <f>N17*VLOOKUP('Données projet'!$B$9,Paramètres!$A$1:$I$89,3,0)*VLOOKUP('Données projet'!$B$9,Paramètres!$A$1:$I$89,5,0)</f>
        <v>29.275306666666655</v>
      </c>
      <c r="P17" s="14">
        <f t="shared" si="33"/>
        <v>9.1065263556897413</v>
      </c>
      <c r="Q17" s="22">
        <f t="shared" si="2"/>
        <v>66.848359180604049</v>
      </c>
      <c r="R17" s="62">
        <f t="shared" si="0"/>
        <v>340.62613695838184</v>
      </c>
      <c r="S17" s="62">
        <f ca="1">AVERAGE(OFFSET($R$3,0,0,'Données projet'!$E$9+1,1))-AVERAGE(OFFSET($H$3,0,0,'Données projet'!$E$9+1,1))</f>
        <v>430.41482167204606</v>
      </c>
      <c r="T17" s="62">
        <f t="shared" si="34"/>
        <v>177.02794100524551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12.6</v>
      </c>
      <c r="AI17" s="14">
        <f>IF('Données projet'!$A$62&gt;35,AI16+AH17-AQ16,IF(A17&lt;'Données projet'!$A$62,$AF$205^A17,IF(A17='Données projet'!$A$62,'Données projet'!$B$62,AI16+AH17-AQ16)))</f>
        <v>133.25934794992446</v>
      </c>
      <c r="AJ17" s="14">
        <f>AI17*VLOOKUP('Données projet'!$B$10,Paramètres!$A$1:$I$89,3,0)*VLOOKUP('Données projet'!$B$10,Paramètres!$A$1:$I$89,5,0)</f>
        <v>74.491975504007769</v>
      </c>
      <c r="AK17" s="14">
        <f t="shared" si="35"/>
        <v>20.784903466499365</v>
      </c>
      <c r="AL17" s="22">
        <f t="shared" si="4"/>
        <v>165.9405642069666</v>
      </c>
      <c r="AM17" s="62">
        <f t="shared" si="5"/>
        <v>439.71834198474437</v>
      </c>
      <c r="AN17" s="62">
        <f ca="1">AVERAGE(OFFSET($AM$3,0,0,'Données projet'!$E$10+1,1))-AVERAGE(OFFSET($H$3,0,0,'Données projet'!$E$10+1,1))</f>
        <v>507.43397352006832</v>
      </c>
      <c r="AO17" s="62">
        <f t="shared" si="36"/>
        <v>631.65579929520936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5.85</v>
      </c>
      <c r="BD17" s="13">
        <f>IF('Données projet'!$A$88&gt;35,BD16+BC17-BL16,IF(A17&lt;'Données projet'!$A$88,$BA$205^A17,IF(A17='Données projet'!$A$88,'Données projet'!$B$88,BD16+BC17-BL16)))</f>
        <v>28.036907139651255</v>
      </c>
      <c r="BE17" s="14">
        <f>BD17*VLOOKUP('Données projet'!$B$11,Paramètres!$A$1:$I$89,3,0)*VLOOKUP('Données projet'!$B$11,Paramètres!$A$1:$I$89,5,0)</f>
        <v>21.868787568927981</v>
      </c>
      <c r="BF17" s="14">
        <f t="shared" si="37"/>
        <v>7.0375448403422114</v>
      </c>
      <c r="BG17" s="22">
        <f t="shared" si="7"/>
        <v>50.34519561281224</v>
      </c>
      <c r="BH17" s="62">
        <f t="shared" si="8"/>
        <v>324.12297339059</v>
      </c>
      <c r="BI17" s="62">
        <f ca="1">AVERAGE(OFFSET($BH$3,0,0,'Données projet'!$E$11+1,1))-AVERAGE(OFFSET($H$3,0,0,'Données projet'!$E$11+1,1))</f>
        <v>357.65167206083379</v>
      </c>
      <c r="BJ17" s="62">
        <f t="shared" si="38"/>
        <v>341.23389735986342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2.3111111111111109</v>
      </c>
      <c r="N18" s="14">
        <f>IF('Données projet'!$A$36&gt;35,N17+M18-V17,IF(A18&lt;'Données projet'!$A$36,$K$205^A18,IF(A18='Données projet'!$A$36,'Données projet'!$B$36,N17+M18-V17)))</f>
        <v>34.666666666666657</v>
      </c>
      <c r="O18" s="14">
        <f>N18*VLOOKUP('Données projet'!$B$9,Paramètres!$A$1:$I$89,3,0)*VLOOKUP('Données projet'!$B$9,Paramètres!$A$1:$I$89,5,0)</f>
        <v>31.366399999999988</v>
      </c>
      <c r="P18" s="14">
        <f t="shared" si="33"/>
        <v>9.6789501483766944</v>
      </c>
      <c r="Q18" s="22">
        <f t="shared" si="2"/>
        <v>71.487318175089399</v>
      </c>
      <c r="R18" s="62">
        <f t="shared" si="0"/>
        <v>346.4873181750894</v>
      </c>
      <c r="S18" s="62">
        <f ca="1">AVERAGE(OFFSET($R$3,0,0,'Données projet'!$E$9+1,1))-AVERAGE(OFFSET($H$3,0,0,'Données projet'!$E$9+1,1))</f>
        <v>430.41482167204606</v>
      </c>
      <c r="T18" s="62">
        <f t="shared" si="34"/>
        <v>177.02794100524551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189</v>
      </c>
      <c r="AG18" s="13">
        <f>VLOOKUP(A18,'Données projet'!$A$61:$I$81,9,0)</f>
        <v>12.6</v>
      </c>
      <c r="AH18" s="13">
        <f t="array" ref="AH18">INDEX(AG:AG,MIN(IF(ISNUMBER(AG18:AG214),ROW(AG18:AG214),"")))</f>
        <v>12.6</v>
      </c>
      <c r="AI18" s="14">
        <f>IF('Données projet'!$A$62&gt;35,AI17+AH18-AQ17,IF(A18&lt;'Données projet'!$A$62,$AF$205^A18,IF(A18='Données projet'!$A$62,'Données projet'!$B$62,AI17+AH18-AQ17)))</f>
        <v>189</v>
      </c>
      <c r="AJ18" s="14">
        <f>AI18*VLOOKUP('Données projet'!$B$10,Paramètres!$A$1:$I$89,3,0)*VLOOKUP('Données projet'!$B$10,Paramètres!$A$1:$I$89,5,0)</f>
        <v>105.651</v>
      </c>
      <c r="AK18" s="14">
        <f t="shared" si="35"/>
        <v>28.303933062831547</v>
      </c>
      <c r="AL18" s="22">
        <f t="shared" si="4"/>
        <v>233.30484175109825</v>
      </c>
      <c r="AM18" s="62">
        <f t="shared" si="5"/>
        <v>508.30484175109825</v>
      </c>
      <c r="AN18" s="62">
        <f ca="1">AVERAGE(OFFSET($AM$3,0,0,'Données projet'!$E$10+1,1))-AVERAGE(OFFSET($H$3,0,0,'Données projet'!$E$10+1,1))</f>
        <v>507.43397352006832</v>
      </c>
      <c r="AO18" s="62">
        <f t="shared" si="36"/>
        <v>631.65579929520936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5.85</v>
      </c>
      <c r="BD18" s="13">
        <f>IF('Données projet'!$A$88&gt;35,BD17+BC18-BL17,IF(A18&lt;'Données projet'!$A$88,$BA$205^A18,IF(A18='Données projet'!$A$88,'Données projet'!$B$88,BD17+BC18-BL17)))</f>
        <v>35.574548453745123</v>
      </c>
      <c r="BE18" s="14">
        <f>BD18*VLOOKUP('Données projet'!$B$11,Paramètres!$A$1:$I$89,3,0)*VLOOKUP('Données projet'!$B$11,Paramètres!$A$1:$I$89,5,0)</f>
        <v>27.748147793921198</v>
      </c>
      <c r="BF18" s="14">
        <f t="shared" si="37"/>
        <v>8.6854760363431716</v>
      </c>
      <c r="BG18" s="22">
        <f t="shared" si="7"/>
        <v>63.455228171043764</v>
      </c>
      <c r="BH18" s="62">
        <f t="shared" si="8"/>
        <v>338.45522817104376</v>
      </c>
      <c r="BI18" s="62">
        <f ca="1">AVERAGE(OFFSET($BH$3,0,0,'Données projet'!$E$11+1,1))-AVERAGE(OFFSET($H$3,0,0,'Données projet'!$E$11+1,1))</f>
        <v>357.65167206083379</v>
      </c>
      <c r="BJ18" s="62">
        <f t="shared" si="38"/>
        <v>341.23389735986342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2.3111111111111109</v>
      </c>
      <c r="N19" s="14">
        <f>IF('Données projet'!$A$36&gt;35,N18+M19-V18,IF(A19&lt;'Données projet'!$A$36,$K$205^A19,IF(A19='Données projet'!$A$36,'Données projet'!$B$36,N18+M19-V18)))</f>
        <v>36.977777777777767</v>
      </c>
      <c r="O19" s="14">
        <f>N19*VLOOKUP('Données projet'!$B$9,Paramètres!$A$1:$I$89,3,0)*VLOOKUP('Données projet'!$B$9,Paramètres!$A$1:$I$89,5,0)</f>
        <v>33.457493333333318</v>
      </c>
      <c r="P19" s="14">
        <f t="shared" si="33"/>
        <v>10.246945661533779</v>
      </c>
      <c r="Q19" s="22">
        <f t="shared" si="2"/>
        <v>76.118564582726847</v>
      </c>
      <c r="R19" s="62">
        <f t="shared" si="0"/>
        <v>352.34078680494906</v>
      </c>
      <c r="S19" s="62">
        <f ca="1">AVERAGE(OFFSET($R$3,0,0,'Données projet'!$E$9+1,1))-AVERAGE(OFFSET($H$3,0,0,'Données projet'!$E$9+1,1))</f>
        <v>430.41482167204606</v>
      </c>
      <c r="T19" s="62">
        <f t="shared" si="34"/>
        <v>177.02794100524551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26.2</v>
      </c>
      <c r="AI19" s="14">
        <f>IF('Données projet'!$A$62&gt;35,AI18+AH19-AQ18,IF(A19&lt;'Données projet'!$A$62,$AF$205^A19,IF(A19='Données projet'!$A$62,'Données projet'!$B$62,AI18+AH19-AQ18)))</f>
        <v>215.2</v>
      </c>
      <c r="AJ19" s="14">
        <f>AI19*VLOOKUP('Données projet'!$B$10,Paramètres!$A$1:$I$89,3,0)*VLOOKUP('Données projet'!$B$10,Paramètres!$A$1:$I$89,5,0)</f>
        <v>120.29679999999999</v>
      </c>
      <c r="AK19" s="14">
        <f t="shared" si="35"/>
        <v>31.744213064656378</v>
      </c>
      <c r="AL19" s="22">
        <f t="shared" si="4"/>
        <v>264.80476442094317</v>
      </c>
      <c r="AM19" s="62">
        <f t="shared" si="5"/>
        <v>541.0269866431654</v>
      </c>
      <c r="AN19" s="62">
        <f ca="1">AVERAGE(OFFSET($AM$3,0,0,'Données projet'!$E$10+1,1))-AVERAGE(OFFSET($H$3,0,0,'Données projet'!$E$10+1,1))</f>
        <v>507.43397352006832</v>
      </c>
      <c r="AO19" s="62">
        <f t="shared" si="36"/>
        <v>631.65579929520936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5.85</v>
      </c>
      <c r="BD19" s="13">
        <f>IF('Données projet'!$A$88&gt;35,BD18+BC19-BL18,IF(A19&lt;'Données projet'!$A$88,$BA$205^A19,IF(A19='Données projet'!$A$88,'Données projet'!$B$88,BD18+BC19-BL18)))</f>
        <v>45.138662812705725</v>
      </c>
      <c r="BE19" s="14">
        <f>BD19*VLOOKUP('Données projet'!$B$11,Paramètres!$A$1:$I$89,3,0)*VLOOKUP('Données projet'!$B$11,Paramètres!$A$1:$I$89,5,0)</f>
        <v>35.208156993910464</v>
      </c>
      <c r="BF19" s="14">
        <f t="shared" si="37"/>
        <v>10.71929141331386</v>
      </c>
      <c r="BG19" s="22">
        <f t="shared" si="7"/>
        <v>79.990305975915703</v>
      </c>
      <c r="BH19" s="62">
        <f t="shared" si="8"/>
        <v>356.21252819813793</v>
      </c>
      <c r="BI19" s="62">
        <f ca="1">AVERAGE(OFFSET($BH$3,0,0,'Données projet'!$E$11+1,1))-AVERAGE(OFFSET($H$3,0,0,'Données projet'!$E$11+1,1))</f>
        <v>357.65167206083379</v>
      </c>
      <c r="BJ19" s="62">
        <f t="shared" si="38"/>
        <v>341.23389735986342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2.3111111111111109</v>
      </c>
      <c r="N20" s="14">
        <f>IF('Données projet'!$A$36&gt;35,N19+M20-V19,IF(A20&lt;'Données projet'!$A$36,$K$205^A20,IF(A20='Données projet'!$A$36,'Données projet'!$B$36,N19+M20-V19)))</f>
        <v>39.288888888888877</v>
      </c>
      <c r="O20" s="14">
        <f>N20*VLOOKUP('Données projet'!$B$9,Paramètres!$A$1:$I$89,3,0)*VLOOKUP('Données projet'!$B$9,Paramètres!$A$1:$I$89,5,0)</f>
        <v>35.548586666666651</v>
      </c>
      <c r="P20" s="14">
        <f t="shared" si="33"/>
        <v>10.810821170933922</v>
      </c>
      <c r="Q20" s="22">
        <f t="shared" si="2"/>
        <v>80.742635317154324</v>
      </c>
      <c r="R20" s="62">
        <f t="shared" si="0"/>
        <v>358.1870797615988</v>
      </c>
      <c r="S20" s="62">
        <f ca="1">AVERAGE(OFFSET($R$3,0,0,'Données projet'!$E$9+1,1))-AVERAGE(OFFSET($H$3,0,0,'Données projet'!$E$9+1,1))</f>
        <v>430.41482167204606</v>
      </c>
      <c r="T20" s="62">
        <f t="shared" si="34"/>
        <v>177.02794100524551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26.2</v>
      </c>
      <c r="AI20" s="14">
        <f>IF('Données projet'!$A$62&gt;35,AI19+AH20-AQ19,IF(A20&lt;'Données projet'!$A$62,$AF$205^A20,IF(A20='Données projet'!$A$62,'Données projet'!$B$62,AI19+AH20-AQ19)))</f>
        <v>241.39999999999998</v>
      </c>
      <c r="AJ20" s="14">
        <f>AI20*VLOOKUP('Données projet'!$B$10,Paramètres!$A$1:$I$89,3,0)*VLOOKUP('Données projet'!$B$10,Paramètres!$A$1:$I$89,5,0)</f>
        <v>134.9426</v>
      </c>
      <c r="AK20" s="14">
        <f t="shared" si="35"/>
        <v>35.135956952072789</v>
      </c>
      <c r="AL20" s="22">
        <f t="shared" si="4"/>
        <v>296.22015335819344</v>
      </c>
      <c r="AM20" s="62">
        <f t="shared" si="5"/>
        <v>573.6645978026379</v>
      </c>
      <c r="AN20" s="62">
        <f ca="1">AVERAGE(OFFSET($AM$3,0,0,'Données projet'!$E$10+1,1))-AVERAGE(OFFSET($H$3,0,0,'Données projet'!$E$10+1,1))</f>
        <v>507.43397352006832</v>
      </c>
      <c r="AO20" s="62">
        <f t="shared" si="36"/>
        <v>631.65579929520936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5.85</v>
      </c>
      <c r="BD20" s="13">
        <f>IF('Données projet'!$A$88&gt;35,BD19+BC20-BL19,IF(A20&lt;'Données projet'!$A$88,$BA$205^A20,IF(A20='Données projet'!$A$88,'Données projet'!$B$88,BD19+BC20-BL19)))</f>
        <v>57.274061627749042</v>
      </c>
      <c r="BE20" s="14">
        <f>BD20*VLOOKUP('Données projet'!$B$11,Paramètres!$A$1:$I$89,3,0)*VLOOKUP('Données projet'!$B$11,Paramètres!$A$1:$I$89,5,0)</f>
        <v>44.673768069644254</v>
      </c>
      <c r="BF20" s="14">
        <f t="shared" si="37"/>
        <v>13.229350691055696</v>
      </c>
      <c r="BG20" s="22">
        <f t="shared" si="7"/>
        <v>100.84793184155241</v>
      </c>
      <c r="BH20" s="62">
        <f t="shared" si="8"/>
        <v>378.29237628599685</v>
      </c>
      <c r="BI20" s="62">
        <f ca="1">AVERAGE(OFFSET($BH$3,0,0,'Données projet'!$E$11+1,1))-AVERAGE(OFFSET($H$3,0,0,'Données projet'!$E$11+1,1))</f>
        <v>357.65167206083379</v>
      </c>
      <c r="BJ20" s="62">
        <f t="shared" si="38"/>
        <v>341.23389735986342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2.3111111111111109</v>
      </c>
      <c r="N21" s="14">
        <f>IF('Données projet'!$A$36&gt;35,N20+M21-V20,IF(A21&lt;'Données projet'!$A$36,$K$205^A21,IF(A21='Données projet'!$A$36,'Données projet'!$B$36,N20+M21-V20)))</f>
        <v>41.599999999999987</v>
      </c>
      <c r="O21" s="14">
        <f>N21*VLOOKUP('Données projet'!$B$9,Paramètres!$A$1:$I$89,3,0)*VLOOKUP('Données projet'!$B$9,Paramètres!$A$1:$I$89,5,0)</f>
        <v>37.639679999999984</v>
      </c>
      <c r="P21" s="14">
        <f t="shared" si="33"/>
        <v>11.370846635821119</v>
      </c>
      <c r="Q21" s="22">
        <f t="shared" si="2"/>
        <v>85.360000557388403</v>
      </c>
      <c r="R21" s="62">
        <f t="shared" si="0"/>
        <v>364.02666722405507</v>
      </c>
      <c r="S21" s="62">
        <f ca="1">AVERAGE(OFFSET($R$3,0,0,'Données projet'!$E$9+1,1))-AVERAGE(OFFSET($H$3,0,0,'Données projet'!$E$9+1,1))</f>
        <v>430.41482167204606</v>
      </c>
      <c r="T21" s="62">
        <f t="shared" si="34"/>
        <v>177.02794100524551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26.2</v>
      </c>
      <c r="AI21" s="14">
        <f>IF('Données projet'!$A$62&gt;35,AI20+AH21-AQ20,IF(A21&lt;'Données projet'!$A$62,$AF$205^A21,IF(A21='Données projet'!$A$62,'Données projet'!$B$62,AI20+AH21-AQ20)))</f>
        <v>267.59999999999997</v>
      </c>
      <c r="AJ21" s="14">
        <f>AI21*VLOOKUP('Données projet'!$B$10,Paramètres!$A$1:$I$89,3,0)*VLOOKUP('Données projet'!$B$10,Paramètres!$A$1:$I$89,5,0)</f>
        <v>149.58839999999998</v>
      </c>
      <c r="AK21" s="14">
        <f t="shared" si="35"/>
        <v>38.485033090581311</v>
      </c>
      <c r="AL21" s="22">
        <f t="shared" si="4"/>
        <v>327.56122929942904</v>
      </c>
      <c r="AM21" s="62">
        <f t="shared" si="5"/>
        <v>606.22789596609573</v>
      </c>
      <c r="AN21" s="62">
        <f ca="1">AVERAGE(OFFSET($AM$3,0,0,'Données projet'!$E$10+1,1))-AVERAGE(OFFSET($H$3,0,0,'Données projet'!$E$10+1,1))</f>
        <v>507.43397352006832</v>
      </c>
      <c r="AO21" s="62">
        <f t="shared" si="36"/>
        <v>631.65579929520936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5.85</v>
      </c>
      <c r="BD21" s="13">
        <f>IF('Données projet'!$A$88&gt;35,BD20+BC21-BL20,IF(A21&lt;'Données projet'!$A$88,$BA$205^A21,IF(A21='Données projet'!$A$88,'Données projet'!$B$88,BD20+BC21-BL20)))</f>
        <v>72.672027280698373</v>
      </c>
      <c r="BE21" s="14">
        <f>BD21*VLOOKUP('Données projet'!$B$11,Paramètres!$A$1:$I$89,3,0)*VLOOKUP('Données projet'!$B$11,Paramètres!$A$1:$I$89,5,0)</f>
        <v>56.684181278944735</v>
      </c>
      <c r="BF21" s="14">
        <f t="shared" si="37"/>
        <v>16.327172474251263</v>
      </c>
      <c r="BG21" s="22">
        <f t="shared" si="7"/>
        <v>127.16144112014972</v>
      </c>
      <c r="BH21" s="62">
        <f t="shared" si="8"/>
        <v>405.82810778681642</v>
      </c>
      <c r="BI21" s="62">
        <f ca="1">AVERAGE(OFFSET($BH$3,0,0,'Données projet'!$E$11+1,1))-AVERAGE(OFFSET($H$3,0,0,'Données projet'!$E$11+1,1))</f>
        <v>357.65167206083379</v>
      </c>
      <c r="BJ21" s="62">
        <f t="shared" si="38"/>
        <v>341.23389735986342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2.3111111111111109</v>
      </c>
      <c r="N22" s="14">
        <f>IF('Données projet'!$A$36&gt;35,N21+M22-V21,IF(A22&lt;'Données projet'!$A$36,$K$205^A22,IF(A22='Données projet'!$A$36,'Données projet'!$B$36,N21+M22-V21)))</f>
        <v>43.911111111111097</v>
      </c>
      <c r="O22" s="14">
        <f>N22*VLOOKUP('Données projet'!$B$9,Paramètres!$A$1:$I$89,3,0)*VLOOKUP('Données projet'!$B$9,Paramètres!$A$1:$I$89,5,0)</f>
        <v>39.730773333333318</v>
      </c>
      <c r="P22" s="14">
        <f t="shared" si="33"/>
        <v>11.927260325855167</v>
      </c>
      <c r="Q22" s="22">
        <f t="shared" si="2"/>
        <v>89.971075289753273</v>
      </c>
      <c r="R22" s="62">
        <f t="shared" si="0"/>
        <v>369.85996417864214</v>
      </c>
      <c r="S22" s="62">
        <f ca="1">AVERAGE(OFFSET($R$3,0,0,'Données projet'!$E$9+1,1))-AVERAGE(OFFSET($H$3,0,0,'Données projet'!$E$9+1,1))</f>
        <v>430.41482167204606</v>
      </c>
      <c r="T22" s="62">
        <f t="shared" si="34"/>
        <v>177.02794100524551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26.2</v>
      </c>
      <c r="AI22" s="14">
        <f>IF('Données projet'!$A$62&gt;35,AI21+AH22-AQ21,IF(A22&lt;'Données projet'!$A$62,$AF$205^A22,IF(A22='Données projet'!$A$62,'Données projet'!$B$62,AI21+AH22-AQ21)))</f>
        <v>293.79999999999995</v>
      </c>
      <c r="AJ22" s="14">
        <f>AI22*VLOOKUP('Données projet'!$B$10,Paramètres!$A$1:$I$89,3,0)*VLOOKUP('Données projet'!$B$10,Paramètres!$A$1:$I$89,5,0)</f>
        <v>164.23419999999996</v>
      </c>
      <c r="AK22" s="14">
        <f t="shared" si="35"/>
        <v>41.796094385498598</v>
      </c>
      <c r="AL22" s="22">
        <f t="shared" si="4"/>
        <v>358.83609605474334</v>
      </c>
      <c r="AM22" s="62">
        <f t="shared" si="5"/>
        <v>638.72498494363219</v>
      </c>
      <c r="AN22" s="62">
        <f ca="1">AVERAGE(OFFSET($AM$3,0,0,'Données projet'!$E$10+1,1))-AVERAGE(OFFSET($H$3,0,0,'Données projet'!$E$10+1,1))</f>
        <v>507.43397352006832</v>
      </c>
      <c r="AO22" s="62">
        <f t="shared" si="36"/>
        <v>631.65579929520936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5.85</v>
      </c>
      <c r="BD22" s="13">
        <f>IF('Données projet'!$A$88&gt;35,BD21+BC22-BL21,IF(A22&lt;'Données projet'!$A$88,$BA$205^A22,IF(A22='Données projet'!$A$88,'Données projet'!$B$88,BD21+BC22-BL21)))</f>
        <v>92.209691420380025</v>
      </c>
      <c r="BE22" s="14">
        <f>BD22*VLOOKUP('Données projet'!$B$11,Paramètres!$A$1:$I$89,3,0)*VLOOKUP('Données projet'!$B$11,Paramètres!$A$1:$I$89,5,0)</f>
        <v>71.923559307896426</v>
      </c>
      <c r="BF22" s="14">
        <f t="shared" si="37"/>
        <v>20.150388876166009</v>
      </c>
      <c r="BG22" s="22">
        <f t="shared" si="7"/>
        <v>160.36212642057541</v>
      </c>
      <c r="BH22" s="62">
        <f t="shared" si="8"/>
        <v>440.25101530946426</v>
      </c>
      <c r="BI22" s="62">
        <f ca="1">AVERAGE(OFFSET($BH$3,0,0,'Données projet'!$E$11+1,1))-AVERAGE(OFFSET($H$3,0,0,'Données projet'!$E$11+1,1))</f>
        <v>357.65167206083379</v>
      </c>
      <c r="BJ22" s="62">
        <f t="shared" si="38"/>
        <v>341.23389735986342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2.3111111111111109</v>
      </c>
      <c r="N23" s="14">
        <f>IF('Données projet'!$A$36&gt;35,N22+M23-V22,IF(A23&lt;'Données projet'!$A$36,$K$205^A23,IF(A23='Données projet'!$A$36,'Données projet'!$B$36,N22+M23-V22)))</f>
        <v>46.222222222222207</v>
      </c>
      <c r="O23" s="14">
        <f>N23*VLOOKUP('Données projet'!$B$9,Paramètres!$A$1:$I$89,3,0)*VLOOKUP('Données projet'!$B$9,Paramètres!$A$1:$I$89,5,0)</f>
        <v>41.821866666666651</v>
      </c>
      <c r="P23" s="14">
        <f t="shared" si="33"/>
        <v>12.480274013109831</v>
      </c>
      <c r="Q23" s="22">
        <f t="shared" si="2"/>
        <v>94.576228350610691</v>
      </c>
      <c r="R23" s="62">
        <f t="shared" si="0"/>
        <v>375.68733946172182</v>
      </c>
      <c r="S23" s="62">
        <f ca="1">AVERAGE(OFFSET($R$3,0,0,'Données projet'!$E$9+1,1))-AVERAGE(OFFSET($H$3,0,0,'Données projet'!$E$9+1,1))</f>
        <v>430.41482167204606</v>
      </c>
      <c r="T23" s="62">
        <f t="shared" si="34"/>
        <v>177.02794100524551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320</v>
      </c>
      <c r="AG23" s="13">
        <f>VLOOKUP(A23,'Données projet'!$A$61:$I$81,9,0)</f>
        <v>26.2</v>
      </c>
      <c r="AH23" s="13">
        <f t="array" ref="AH23">INDEX(AG:AG,MIN(IF(ISNUMBER(AG23:AG219),ROW(AG23:AG219),"")))</f>
        <v>26.2</v>
      </c>
      <c r="AI23" s="14">
        <f>IF('Données projet'!$A$62&gt;35,AI22+AH23-AQ22,IF(A23&lt;'Données projet'!$A$62,$AF$205^A23,IF(A23='Données projet'!$A$62,'Données projet'!$B$62,AI22+AH23-AQ22)))</f>
        <v>319.99999999999994</v>
      </c>
      <c r="AJ23" s="14">
        <f>AI23*VLOOKUP('Données projet'!$B$10,Paramètres!$A$1:$I$89,3,0)*VLOOKUP('Données projet'!$B$10,Paramètres!$A$1:$I$89,5,0)</f>
        <v>178.87999999999997</v>
      </c>
      <c r="AK23" s="14">
        <f t="shared" si="35"/>
        <v>45.072916355553474</v>
      </c>
      <c r="AL23" s="22">
        <f t="shared" si="4"/>
        <v>390.05132931925556</v>
      </c>
      <c r="AM23" s="62">
        <f t="shared" si="5"/>
        <v>671.1624404303667</v>
      </c>
      <c r="AN23" s="62">
        <f ca="1">AVERAGE(OFFSET($AM$3,0,0,'Données projet'!$E$10+1,1))-AVERAGE(OFFSET($H$3,0,0,'Données projet'!$E$10+1,1))</f>
        <v>507.43397352006832</v>
      </c>
      <c r="AO23" s="62">
        <f t="shared" si="36"/>
        <v>631.65579929520936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11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0.27500000000000002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2.2343550467971398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2.2343550467971398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117</v>
      </c>
      <c r="BB23" s="13">
        <f>VLOOKUP(A23,'Données projet'!$A$87:$I$107,9,0)</f>
        <v>5.85</v>
      </c>
      <c r="BC23" s="13">
        <f t="array" ref="BC23">INDEX(BB:BB,MIN(IF(ISNUMBER(BB23:BB219),ROW(BB23:BB219),"")))</f>
        <v>5.85</v>
      </c>
      <c r="BD23" s="13">
        <f>IF('Données projet'!$A$88&gt;35,BD22+BC23-BL22,IF(A23&lt;'Données projet'!$A$88,$BA$205^A23,IF(A23='Données projet'!$A$88,'Données projet'!$B$88,BD22+BC23-BL22)))</f>
        <v>117</v>
      </c>
      <c r="BE23" s="14">
        <f>BD23*VLOOKUP('Données projet'!$B$11,Paramètres!$A$1:$I$89,3,0)*VLOOKUP('Données projet'!$B$11,Paramètres!$A$1:$I$89,5,0)</f>
        <v>91.26</v>
      </c>
      <c r="BF23" s="14">
        <f t="shared" si="37"/>
        <v>24.868860330902777</v>
      </c>
      <c r="BG23" s="22">
        <f t="shared" si="7"/>
        <v>202.25776507632233</v>
      </c>
      <c r="BH23" s="62">
        <f t="shared" si="8"/>
        <v>483.36887618743344</v>
      </c>
      <c r="BI23" s="62">
        <f ca="1">AVERAGE(OFFSET($BH$3,0,0,'Données projet'!$E$11+1,1))-AVERAGE(OFFSET($H$3,0,0,'Données projet'!$E$11+1,1))</f>
        <v>357.65167206083379</v>
      </c>
      <c r="BJ23" s="62">
        <f t="shared" si="38"/>
        <v>341.23389735986342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2.3111111111111109</v>
      </c>
      <c r="N24" s="14">
        <f>IF('Données projet'!$A$36&gt;35,N23+M24-V23,IF(A24&lt;'Données projet'!$A$36,$K$205^A24,IF(A24='Données projet'!$A$36,'Données projet'!$B$36,N23+M24-V23)))</f>
        <v>48.533333333333317</v>
      </c>
      <c r="O24" s="14">
        <f>N24*VLOOKUP('Données projet'!$B$9,Paramètres!$A$1:$I$89,3,0)*VLOOKUP('Données projet'!$B$9,Paramètres!$A$1:$I$89,5,0)</f>
        <v>43.912959999999984</v>
      </c>
      <c r="P24" s="14">
        <f t="shared" si="33"/>
        <v>13.030077096161751</v>
      </c>
      <c r="Q24" s="22">
        <f t="shared" si="2"/>
        <v>99.175789609148339</v>
      </c>
      <c r="R24" s="62">
        <f t="shared" si="0"/>
        <v>381.50912294248167</v>
      </c>
      <c r="S24" s="62">
        <f ca="1">AVERAGE(OFFSET($R$3,0,0,'Données projet'!$E$9+1,1))-AVERAGE(OFFSET($H$3,0,0,'Données projet'!$E$9+1,1))</f>
        <v>430.41482167204606</v>
      </c>
      <c r="T24" s="62">
        <f t="shared" si="34"/>
        <v>177.02794100524551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22.8</v>
      </c>
      <c r="AI24" s="14">
        <f>IF('Données projet'!$A$62&gt;35,AI23+AH24-AQ23,IF(A24&lt;'Données projet'!$A$62,$AF$205^A24,IF(A24='Données projet'!$A$62,'Données projet'!$B$62,AI23+AH24-AQ23)))</f>
        <v>331.79999999999995</v>
      </c>
      <c r="AJ24" s="14">
        <f>AI24*VLOOKUP('Données projet'!$B$10,Paramètres!$A$1:$I$89,3,0)*VLOOKUP('Données projet'!$B$10,Paramètres!$A$1:$I$89,5,0)</f>
        <v>185.47619999999998</v>
      </c>
      <c r="AK24" s="14">
        <f t="shared" si="35"/>
        <v>46.538406548062902</v>
      </c>
      <c r="AL24" s="22">
        <f t="shared" si="4"/>
        <v>404.09210640454285</v>
      </c>
      <c r="AM24" s="62">
        <f t="shared" si="5"/>
        <v>686.4254397378761</v>
      </c>
      <c r="AN24" s="62">
        <f ca="1">AVERAGE(OFFSET($AM$3,0,0,'Données projet'!$E$10+1,1))-AVERAGE(OFFSET($H$3,0,0,'Données projet'!$E$10+1,1))</f>
        <v>507.43397352006832</v>
      </c>
      <c r="AO24" s="62">
        <f t="shared" si="36"/>
        <v>631.65579929520936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2.1732564905428466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2.1732564905428466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100</v>
      </c>
      <c r="BE24" s="14">
        <f>BD24*VLOOKUP('Données projet'!$B$11,Paramètres!$A$1:$I$89,3,0)*VLOOKUP('Données projet'!$B$11,Paramètres!$A$1:$I$89,5,0)</f>
        <v>78</v>
      </c>
      <c r="BF24" s="14">
        <f t="shared" si="37"/>
        <v>21.647455512768612</v>
      </c>
      <c r="BG24" s="22">
        <f t="shared" si="7"/>
        <v>173.55265168473866</v>
      </c>
      <c r="BH24" s="62">
        <f t="shared" si="8"/>
        <v>455.88598501807201</v>
      </c>
      <c r="BI24" s="62">
        <f ca="1">AVERAGE(OFFSET($BH$3,0,0,'Données projet'!$E$11+1,1))-AVERAGE(OFFSET($H$3,0,0,'Données projet'!$E$11+1,1))</f>
        <v>357.65167206083379</v>
      </c>
      <c r="BJ24" s="62">
        <f t="shared" si="38"/>
        <v>341.23389735986342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2.3111111111111109</v>
      </c>
      <c r="N25" s="14">
        <f>IF('Données projet'!$A$36&gt;35,N24+M25-V24,IF(A25&lt;'Données projet'!$A$36,$K$205^A25,IF(A25='Données projet'!$A$36,'Données projet'!$B$36,N24+M25-V24)))</f>
        <v>50.844444444444427</v>
      </c>
      <c r="O25" s="14">
        <f>N25*VLOOKUP('Données projet'!$B$9,Paramètres!$A$1:$I$89,3,0)*VLOOKUP('Données projet'!$B$9,Paramètres!$A$1:$I$89,5,0)</f>
        <v>46.00405333333331</v>
      </c>
      <c r="P25" s="14">
        <f t="shared" si="33"/>
        <v>13.576839916381575</v>
      </c>
      <c r="Q25" s="22">
        <f t="shared" si="2"/>
        <v>103.77005574325341</v>
      </c>
      <c r="R25" s="62">
        <f t="shared" si="0"/>
        <v>387.32561129880895</v>
      </c>
      <c r="S25" s="62">
        <f ca="1">AVERAGE(OFFSET($R$3,0,0,'Données projet'!$E$9+1,1))-AVERAGE(OFFSET($H$3,0,0,'Données projet'!$E$9+1,1))</f>
        <v>430.41482167204606</v>
      </c>
      <c r="T25" s="62">
        <f t="shared" si="34"/>
        <v>177.02794100524551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22.8</v>
      </c>
      <c r="AI25" s="14">
        <f>IF('Données projet'!$A$62&gt;35,AI24+AH25-AQ24,IF(A25&lt;'Données projet'!$A$62,$AF$205^A25,IF(A25='Données projet'!$A$62,'Données projet'!$B$62,AI24+AH25-AQ24)))</f>
        <v>354.59999999999997</v>
      </c>
      <c r="AJ25" s="14">
        <f>AI25*VLOOKUP('Données projet'!$B$10,Paramètres!$A$1:$I$89,3,0)*VLOOKUP('Données projet'!$B$10,Paramètres!$A$1:$I$89,5,0)</f>
        <v>198.22139999999999</v>
      </c>
      <c r="AK25" s="14">
        <f t="shared" si="35"/>
        <v>49.353082295516799</v>
      </c>
      <c r="AL25" s="22">
        <f t="shared" si="4"/>
        <v>431.19222333135843</v>
      </c>
      <c r="AM25" s="62">
        <f t="shared" si="5"/>
        <v>714.74777888691392</v>
      </c>
      <c r="AN25" s="62">
        <f ca="1">AVERAGE(OFFSET($AM$3,0,0,'Données projet'!$E$10+1,1))-AVERAGE(OFFSET($H$3,0,0,'Données projet'!$E$10+1,1))</f>
        <v>507.43397352006832</v>
      </c>
      <c r="AO25" s="62">
        <f t="shared" si="36"/>
        <v>631.65579929520936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2.1138286775223607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2.1138286775223607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110</v>
      </c>
      <c r="BE25" s="14">
        <f>BD25*VLOOKUP('Données projet'!$B$11,Paramètres!$A$1:$I$89,3,0)*VLOOKUP('Données projet'!$B$11,Paramètres!$A$1:$I$89,5,0)</f>
        <v>85.8</v>
      </c>
      <c r="BF25" s="14">
        <f t="shared" si="37"/>
        <v>23.549485995669766</v>
      </c>
      <c r="BG25" s="22">
        <f t="shared" si="7"/>
        <v>190.45035477579151</v>
      </c>
      <c r="BH25" s="62">
        <f t="shared" si="8"/>
        <v>474.00591033134708</v>
      </c>
      <c r="BI25" s="62">
        <f ca="1">AVERAGE(OFFSET($BH$3,0,0,'Données projet'!$E$11+1,1))-AVERAGE(OFFSET($H$3,0,0,'Données projet'!$E$11+1,1))</f>
        <v>357.65167206083379</v>
      </c>
      <c r="BJ25" s="62">
        <f t="shared" si="38"/>
        <v>341.23389735986342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2.3111111111111109</v>
      </c>
      <c r="N26" s="14">
        <f>IF('Données projet'!$A$36&gt;35,N25+M26-V25,IF(A26&lt;'Données projet'!$A$36,$K$205^A26,IF(A26='Données projet'!$A$36,'Données projet'!$B$36,N25+M26-V25)))</f>
        <v>53.155555555555537</v>
      </c>
      <c r="O26" s="14">
        <f>N26*VLOOKUP('Données projet'!$B$9,Paramètres!$A$1:$I$89,3,0)*VLOOKUP('Données projet'!$B$9,Paramètres!$A$1:$I$89,5,0)</f>
        <v>48.095146666666643</v>
      </c>
      <c r="P26" s="14">
        <f t="shared" si="33"/>
        <v>14.120716454218751</v>
      </c>
      <c r="Q26" s="22">
        <f t="shared" si="2"/>
        <v>108.35929493554205</v>
      </c>
      <c r="R26" s="62">
        <f t="shared" si="0"/>
        <v>393.13707271331981</v>
      </c>
      <c r="S26" s="62">
        <f ca="1">AVERAGE(OFFSET($R$3,0,0,'Données projet'!$E$9+1,1))-AVERAGE(OFFSET($H$3,0,0,'Données projet'!$E$9+1,1))</f>
        <v>430.41482167204606</v>
      </c>
      <c r="T26" s="62">
        <f t="shared" si="34"/>
        <v>177.02794100524551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22.8</v>
      </c>
      <c r="AI26" s="14">
        <f>IF('Données projet'!$A$62&gt;35,AI25+AH26-AQ25,IF(A26&lt;'Données projet'!$A$62,$AF$205^A26,IF(A26='Données projet'!$A$62,'Données projet'!$B$62,AI25+AH26-AQ25)))</f>
        <v>377.4</v>
      </c>
      <c r="AJ26" s="14">
        <f>AI26*VLOOKUP('Données projet'!$B$10,Paramètres!$A$1:$I$89,3,0)*VLOOKUP('Données projet'!$B$10,Paramètres!$A$1:$I$89,5,0)</f>
        <v>210.96659999999997</v>
      </c>
      <c r="AK26" s="14">
        <f t="shared" si="35"/>
        <v>52.146755629628849</v>
      </c>
      <c r="AL26" s="22">
        <f t="shared" si="4"/>
        <v>458.25576105493684</v>
      </c>
      <c r="AM26" s="62">
        <f t="shared" si="5"/>
        <v>743.03353883271461</v>
      </c>
      <c r="AN26" s="62">
        <f ca="1">AVERAGE(OFFSET($AM$3,0,0,'Données projet'!$E$10+1,1))-AVERAGE(OFFSET($H$3,0,0,'Données projet'!$E$10+1,1))</f>
        <v>507.43397352006832</v>
      </c>
      <c r="AO26" s="62">
        <f t="shared" si="36"/>
        <v>631.65579929520936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2.056025921174093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2.056025921174093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120</v>
      </c>
      <c r="BE26" s="14">
        <f>BD26*VLOOKUP('Données projet'!$B$11,Paramètres!$A$1:$I$89,3,0)*VLOOKUP('Données projet'!$B$11,Paramètres!$A$1:$I$89,5,0)</f>
        <v>93.600000000000009</v>
      </c>
      <c r="BF26" s="14">
        <f t="shared" si="37"/>
        <v>25.431466524572937</v>
      </c>
      <c r="BG26" s="22">
        <f t="shared" si="7"/>
        <v>207.31313753029789</v>
      </c>
      <c r="BH26" s="62">
        <f t="shared" si="8"/>
        <v>492.09091530807564</v>
      </c>
      <c r="BI26" s="62">
        <f ca="1">AVERAGE(OFFSET($BH$3,0,0,'Données projet'!$E$11+1,1))-AVERAGE(OFFSET($H$3,0,0,'Données projet'!$E$11+1,1))</f>
        <v>357.65167206083379</v>
      </c>
      <c r="BJ26" s="62">
        <f t="shared" si="38"/>
        <v>341.23389735986342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2.3111111111111109</v>
      </c>
      <c r="N27" s="14">
        <f>IF('Données projet'!$A$36&gt;35,N26+M27-V26,IF(A27&lt;'Données projet'!$A$36,$K$205^A27,IF(A27='Données projet'!$A$36,'Données projet'!$B$36,N26+M27-V26)))</f>
        <v>55.466666666666647</v>
      </c>
      <c r="O27" s="14">
        <f>N27*VLOOKUP('Données projet'!$B$9,Paramètres!$A$1:$I$89,3,0)*VLOOKUP('Données projet'!$B$9,Paramètres!$A$1:$I$89,5,0)</f>
        <v>50.186239999999984</v>
      </c>
      <c r="P27" s="14">
        <f t="shared" si="33"/>
        <v>14.661846543335718</v>
      </c>
      <c r="Q27" s="22">
        <f t="shared" si="2"/>
        <v>112.943750729643</v>
      </c>
      <c r="R27" s="62">
        <f t="shared" si="0"/>
        <v>398.943750729643</v>
      </c>
      <c r="S27" s="62">
        <f ca="1">AVERAGE(OFFSET($R$3,0,0,'Données projet'!$E$9+1,1))-AVERAGE(OFFSET($H$3,0,0,'Données projet'!$E$9+1,1))</f>
        <v>430.41482167204606</v>
      </c>
      <c r="T27" s="62">
        <f t="shared" si="34"/>
        <v>177.02794100524551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22.8</v>
      </c>
      <c r="AI27" s="14">
        <f>IF('Données projet'!$A$62&gt;35,AI26+AH27-AQ26,IF(A27&lt;'Données projet'!$A$62,$AF$205^A27,IF(A27='Données projet'!$A$62,'Données projet'!$B$62,AI26+AH27-AQ26)))</f>
        <v>400.2</v>
      </c>
      <c r="AJ27" s="14">
        <f>AI27*VLOOKUP('Données projet'!$B$10,Paramètres!$A$1:$I$89,3,0)*VLOOKUP('Données projet'!$B$10,Paramètres!$A$1:$I$89,5,0)</f>
        <v>223.71179999999998</v>
      </c>
      <c r="AK27" s="14">
        <f t="shared" si="35"/>
        <v>54.920839869581336</v>
      </c>
      <c r="AL27" s="22">
        <f t="shared" si="4"/>
        <v>485.28518110618751</v>
      </c>
      <c r="AM27" s="62">
        <f t="shared" si="5"/>
        <v>771.28518110618757</v>
      </c>
      <c r="AN27" s="62">
        <f ca="1">AVERAGE(OFFSET($AM$3,0,0,'Données projet'!$E$10+1,1))-AVERAGE(OFFSET($H$3,0,0,'Données projet'!$E$10+1,1))</f>
        <v>507.43397352006832</v>
      </c>
      <c r="AO27" s="62">
        <f t="shared" si="36"/>
        <v>631.65579929520936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1.9998037842378833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1.9998037842378833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130</v>
      </c>
      <c r="BE27" s="14">
        <f>BD27*VLOOKUP('Données projet'!$B$11,Paramètres!$A$1:$I$89,3,0)*VLOOKUP('Données projet'!$B$11,Paramètres!$A$1:$I$89,5,0)</f>
        <v>101.4</v>
      </c>
      <c r="BF27" s="14">
        <f t="shared" si="37"/>
        <v>27.295257887453797</v>
      </c>
      <c r="BG27" s="22">
        <f t="shared" si="7"/>
        <v>224.14424082064872</v>
      </c>
      <c r="BH27" s="62">
        <f t="shared" si="8"/>
        <v>510.14424082064875</v>
      </c>
      <c r="BI27" s="62">
        <f ca="1">AVERAGE(OFFSET($BH$3,0,0,'Données projet'!$E$11+1,1))-AVERAGE(OFFSET($H$3,0,0,'Données projet'!$E$11+1,1))</f>
        <v>357.65167206083379</v>
      </c>
      <c r="BJ27" s="62">
        <f t="shared" si="38"/>
        <v>341.23389735986342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2.3111111111111109</v>
      </c>
      <c r="N28" s="14">
        <f>IF('Données projet'!$A$36&gt;35,N27+M28-V27,IF(A28&lt;'Données projet'!$A$36,$K$205^A28,IF(A28='Données projet'!$A$36,'Données projet'!$B$36,N27+M28-V27)))</f>
        <v>57.777777777777757</v>
      </c>
      <c r="O28" s="14">
        <f>N28*VLOOKUP('Données projet'!$B$9,Paramètres!$A$1:$I$89,3,0)*VLOOKUP('Données projet'!$B$9,Paramètres!$A$1:$I$89,5,0)</f>
        <v>52.277333333333317</v>
      </c>
      <c r="P28" s="14">
        <f t="shared" si="33"/>
        <v>15.200357705321382</v>
      </c>
      <c r="Q28" s="22">
        <f t="shared" si="2"/>
        <v>117.52364522565694</v>
      </c>
      <c r="R28" s="62">
        <f t="shared" si="0"/>
        <v>404.74586744787916</v>
      </c>
      <c r="S28" s="62">
        <f ca="1">AVERAGE(OFFSET($R$3,0,0,'Données projet'!$E$9+1,1))-AVERAGE(OFFSET($H$3,0,0,'Données projet'!$E$9+1,1))</f>
        <v>430.41482167204606</v>
      </c>
      <c r="T28" s="62">
        <f t="shared" si="34"/>
        <v>177.02794100524551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423</v>
      </c>
      <c r="AG28" s="13">
        <f>VLOOKUP(A28,'Données projet'!$A$61:$I$81,9,0)</f>
        <v>22.8</v>
      </c>
      <c r="AH28" s="13">
        <f t="array" ref="AH28">INDEX(AG:AG,MIN(IF(ISNUMBER(AG28:AG224),ROW(AG28:AG224),"")))</f>
        <v>22.8</v>
      </c>
      <c r="AI28" s="14">
        <f>IF('Données projet'!$A$62&gt;35,AI27+AH28-AQ27,IF(A28&lt;'Données projet'!$A$62,$AF$205^A28,IF(A28='Données projet'!$A$62,'Données projet'!$B$62,AI27+AH28-AQ27)))</f>
        <v>423</v>
      </c>
      <c r="AJ28" s="14">
        <f>AI28*VLOOKUP('Données projet'!$B$10,Paramètres!$A$1:$I$89,3,0)*VLOOKUP('Données projet'!$B$10,Paramètres!$A$1:$I$89,5,0)</f>
        <v>236.45699999999999</v>
      </c>
      <c r="AK28" s="14">
        <f t="shared" si="35"/>
        <v>57.676578200883178</v>
      </c>
      <c r="AL28" s="22">
        <f t="shared" si="4"/>
        <v>512.28264869987152</v>
      </c>
      <c r="AM28" s="62">
        <f t="shared" si="5"/>
        <v>799.50487092209369</v>
      </c>
      <c r="AN28" s="62">
        <f ca="1">AVERAGE(OFFSET($AM$3,0,0,'Données projet'!$E$10+1,1))-AVERAGE(OFFSET($H$3,0,0,'Données projet'!$E$10+1,1))</f>
        <v>507.43397352006832</v>
      </c>
      <c r="AO28" s="62">
        <f t="shared" si="36"/>
        <v>631.65579929520936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0.27500000000000002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11.28878560392628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11.28878560392628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</v>
      </c>
      <c r="BB28" s="13">
        <f>VLOOKUP(A28,'Données projet'!$A$87:$I$107,9,0)</f>
        <v>10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140</v>
      </c>
      <c r="BE28" s="14">
        <f>BD28*VLOOKUP('Données projet'!$B$11,Paramètres!$A$1:$I$89,3,0)*VLOOKUP('Données projet'!$B$11,Paramètres!$A$1:$I$89,5,0)</f>
        <v>109.2</v>
      </c>
      <c r="BF28" s="14">
        <f t="shared" si="37"/>
        <v>29.142418334948612</v>
      </c>
      <c r="BG28" s="22">
        <f t="shared" si="7"/>
        <v>240.94637860003544</v>
      </c>
      <c r="BH28" s="62">
        <f t="shared" si="8"/>
        <v>528.16860082225764</v>
      </c>
      <c r="BI28" s="62">
        <f ca="1">AVERAGE(OFFSET($BH$3,0,0,'Données projet'!$E$11+1,1))-AVERAGE(OFFSET($H$3,0,0,'Données projet'!$E$11+1,1))</f>
        <v>357.65167206083379</v>
      </c>
      <c r="BJ28" s="62">
        <f t="shared" si="38"/>
        <v>341.23389735986342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2.3111111111111109</v>
      </c>
      <c r="N29" s="14">
        <f>IF('Données projet'!$A$36&gt;35,N28+M29-V28,IF(A29&lt;'Données projet'!$A$36,$K$205^A29,IF(A29='Données projet'!$A$36,'Données projet'!$B$36,N28+M29-V28)))</f>
        <v>60.088888888888867</v>
      </c>
      <c r="O29" s="14">
        <f>N29*VLOOKUP('Données projet'!$B$9,Paramètres!$A$1:$I$89,3,0)*VLOOKUP('Données projet'!$B$9,Paramètres!$A$1:$I$89,5,0)</f>
        <v>54.36842666666665</v>
      </c>
      <c r="P29" s="14">
        <f t="shared" si="33"/>
        <v>15.736366682587215</v>
      </c>
      <c r="Q29" s="22">
        <f t="shared" si="2"/>
        <v>122.09918174995046</v>
      </c>
      <c r="R29" s="62">
        <f t="shared" si="0"/>
        <v>410.5436261943949</v>
      </c>
      <c r="S29" s="62">
        <f ca="1">AVERAGE(OFFSET($R$3,0,0,'Données projet'!$E$9+1,1))-AVERAGE(OFFSET($H$3,0,0,'Données projet'!$E$9+1,1))</f>
        <v>430.41482167204606</v>
      </c>
      <c r="T29" s="62">
        <f t="shared" si="34"/>
        <v>177.02794100524551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23.2</v>
      </c>
      <c r="AI29" s="14">
        <f>IF('Données projet'!$A$62&gt;35,AI28+AH29-AQ28,IF(A29&lt;'Données projet'!$A$62,$AF$205^A29,IF(A29='Données projet'!$A$62,'Données projet'!$B$62,AI28+AH29-AQ28)))</f>
        <v>400.2</v>
      </c>
      <c r="AJ29" s="14">
        <f>AI29*VLOOKUP('Données projet'!$B$10,Paramètres!$A$1:$I$89,3,0)*VLOOKUP('Données projet'!$B$10,Paramètres!$A$1:$I$89,5,0)</f>
        <v>223.71179999999998</v>
      </c>
      <c r="AK29" s="14">
        <f t="shared" si="35"/>
        <v>54.920839869581336</v>
      </c>
      <c r="AL29" s="22">
        <f t="shared" si="4"/>
        <v>485.28518110618751</v>
      </c>
      <c r="AM29" s="62">
        <f t="shared" si="5"/>
        <v>773.72962555063191</v>
      </c>
      <c r="AN29" s="62">
        <f ca="1">AVERAGE(OFFSET($AM$3,0,0,'Données projet'!$E$10+1,1))-AVERAGE(OFFSET($H$3,0,0,'Données projet'!$E$10+1,1))</f>
        <v>507.43397352006832</v>
      </c>
      <c r="AO29" s="62">
        <f t="shared" si="36"/>
        <v>631.65579929520936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10.980093167935483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10.980093167935483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10.8</v>
      </c>
      <c r="BD29" s="13">
        <f>IF('Données projet'!$A$88&gt;35,BD28+BC29-BL28,IF(A29&lt;'Données projet'!$A$88,$BA$205^A29,IF(A29='Données projet'!$A$88,'Données projet'!$B$88,BD28+BC29-BL28)))</f>
        <v>134.80000000000001</v>
      </c>
      <c r="BE29" s="14">
        <f>BD29*VLOOKUP('Données projet'!$B$11,Paramètres!$A$1:$I$89,3,0)*VLOOKUP('Données projet'!$B$11,Paramètres!$A$1:$I$89,5,0)</f>
        <v>105.14400000000001</v>
      </c>
      <c r="BF29" s="14">
        <f t="shared" si="37"/>
        <v>28.183884120602002</v>
      </c>
      <c r="BG29" s="22">
        <f t="shared" si="7"/>
        <v>232.21273151004846</v>
      </c>
      <c r="BH29" s="62">
        <f t="shared" si="8"/>
        <v>520.65717595449291</v>
      </c>
      <c r="BI29" s="62">
        <f ca="1">AVERAGE(OFFSET($BH$3,0,0,'Données projet'!$E$11+1,1))-AVERAGE(OFFSET($H$3,0,0,'Données projet'!$E$11+1,1))</f>
        <v>357.65167206083379</v>
      </c>
      <c r="BJ29" s="62">
        <f t="shared" si="38"/>
        <v>341.23389735986342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2.3111111111111109</v>
      </c>
      <c r="N30" s="14">
        <f>IF('Données projet'!$A$36&gt;35,N29+M30-V29,IF(A30&lt;'Données projet'!$A$36,$K$205^A30,IF(A30='Données projet'!$A$36,'Données projet'!$B$36,N29+M30-V29)))</f>
        <v>62.399999999999977</v>
      </c>
      <c r="O30" s="14">
        <f>N30*VLOOKUP('Données projet'!$B$9,Paramètres!$A$1:$I$89,3,0)*VLOOKUP('Données projet'!$B$9,Paramètres!$A$1:$I$89,5,0)</f>
        <v>56.459519999999983</v>
      </c>
      <c r="P30" s="14">
        <f t="shared" si="33"/>
        <v>16.269980728799919</v>
      </c>
      <c r="Q30" s="22">
        <f t="shared" si="2"/>
        <v>126.67054710265982</v>
      </c>
      <c r="R30" s="62">
        <f t="shared" si="0"/>
        <v>416.33721376932652</v>
      </c>
      <c r="S30" s="62">
        <f ca="1">AVERAGE(OFFSET($R$3,0,0,'Données projet'!$E$9+1,1))-AVERAGE(OFFSET($H$3,0,0,'Données projet'!$E$9+1,1))</f>
        <v>430.41482167204606</v>
      </c>
      <c r="T30" s="62">
        <f t="shared" si="34"/>
        <v>177.02794100524551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23.2</v>
      </c>
      <c r="AI30" s="14">
        <f>IF('Données projet'!$A$62&gt;35,AI29+AH30-AQ29,IF(A30&lt;'Données projet'!$A$62,$AF$205^A30,IF(A30='Données projet'!$A$62,'Données projet'!$B$62,AI29+AH30-AQ29)))</f>
        <v>423.4</v>
      </c>
      <c r="AJ30" s="14">
        <f>AI30*VLOOKUP('Données projet'!$B$10,Paramètres!$A$1:$I$89,3,0)*VLOOKUP('Données projet'!$B$10,Paramètres!$A$1:$I$89,5,0)</f>
        <v>236.6806</v>
      </c>
      <c r="AK30" s="14">
        <f t="shared" si="35"/>
        <v>57.724767534889061</v>
      </c>
      <c r="AL30" s="22">
        <f t="shared" si="4"/>
        <v>512.75601512326512</v>
      </c>
      <c r="AM30" s="62">
        <f t="shared" si="5"/>
        <v>802.42268178993186</v>
      </c>
      <c r="AN30" s="62">
        <f ca="1">AVERAGE(OFFSET($AM$3,0,0,'Données projet'!$E$10+1,1))-AVERAGE(OFFSET($H$3,0,0,'Données projet'!$E$10+1,1))</f>
        <v>507.43397352006832</v>
      </c>
      <c r="AO30" s="62">
        <f t="shared" si="36"/>
        <v>631.65579929520936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10.679841942840282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10.679841942840282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10.8</v>
      </c>
      <c r="BD30" s="13">
        <f>IF('Données projet'!$A$88&gt;35,BD29+BC30-BL29,IF(A30&lt;'Données projet'!$A$88,$BA$205^A30,IF(A30='Données projet'!$A$88,'Données projet'!$B$88,BD29+BC30-BL29)))</f>
        <v>145.60000000000002</v>
      </c>
      <c r="BE30" s="14">
        <f>BD30*VLOOKUP('Données projet'!$B$11,Paramètres!$A$1:$I$89,3,0)*VLOOKUP('Données projet'!$B$11,Paramètres!$A$1:$I$89,5,0)</f>
        <v>113.56800000000003</v>
      </c>
      <c r="BF30" s="14">
        <f t="shared" si="37"/>
        <v>30.17006506205821</v>
      </c>
      <c r="BG30" s="22">
        <f t="shared" si="7"/>
        <v>250.34379664975143</v>
      </c>
      <c r="BH30" s="62">
        <f t="shared" si="8"/>
        <v>540.01046331641805</v>
      </c>
      <c r="BI30" s="62">
        <f ca="1">AVERAGE(OFFSET($BH$3,0,0,'Données projet'!$E$11+1,1))-AVERAGE(OFFSET($H$3,0,0,'Données projet'!$E$11+1,1))</f>
        <v>357.65167206083379</v>
      </c>
      <c r="BJ30" s="62">
        <f t="shared" si="38"/>
        <v>341.23389735986342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2.3111111111111109</v>
      </c>
      <c r="N31" s="14">
        <f>IF('Données projet'!$A$36&gt;35,N30+M31-V30,IF(A31&lt;'Données projet'!$A$36,$K$205^A31,IF(A31='Données projet'!$A$36,'Données projet'!$B$36,N30+M31-V30)))</f>
        <v>64.711111111111094</v>
      </c>
      <c r="O31" s="14">
        <f>N31*VLOOKUP('Données projet'!$B$9,Paramètres!$A$1:$I$89,3,0)*VLOOKUP('Données projet'!$B$9,Paramètres!$A$1:$I$89,5,0)</f>
        <v>58.55061333333331</v>
      </c>
      <c r="P31" s="14">
        <f t="shared" si="33"/>
        <v>16.801298702764637</v>
      </c>
      <c r="Q31" s="22">
        <f t="shared" si="2"/>
        <v>131.23791346287058</v>
      </c>
      <c r="R31" s="62">
        <f t="shared" si="0"/>
        <v>422.12680235175947</v>
      </c>
      <c r="S31" s="62">
        <f ca="1">AVERAGE(OFFSET($R$3,0,0,'Données projet'!$E$9+1,1))-AVERAGE(OFFSET($H$3,0,0,'Données projet'!$E$9+1,1))</f>
        <v>430.41482167204606</v>
      </c>
      <c r="T31" s="62">
        <f t="shared" si="34"/>
        <v>177.02794100524551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23.2</v>
      </c>
      <c r="AI31" s="14">
        <f>IF('Données projet'!$A$62&gt;35,AI30+AH31-AQ30,IF(A31&lt;'Données projet'!$A$62,$AF$205^A31,IF(A31='Données projet'!$A$62,'Données projet'!$B$62,AI30+AH31-AQ30)))</f>
        <v>446.59999999999997</v>
      </c>
      <c r="AJ31" s="14">
        <f>AI31*VLOOKUP('Données projet'!$B$10,Paramètres!$A$1:$I$89,3,0)*VLOOKUP('Données projet'!$B$10,Paramètres!$A$1:$I$89,5,0)</f>
        <v>249.64939999999999</v>
      </c>
      <c r="AK31" s="14">
        <f t="shared" si="35"/>
        <v>60.510859008247188</v>
      </c>
      <c r="AL31" s="22">
        <f t="shared" si="4"/>
        <v>540.19578443936382</v>
      </c>
      <c r="AM31" s="62">
        <f t="shared" si="5"/>
        <v>831.08467332825262</v>
      </c>
      <c r="AN31" s="62">
        <f ca="1">AVERAGE(OFFSET($AM$3,0,0,'Données projet'!$E$10+1,1))-AVERAGE(OFFSET($H$3,0,0,'Données projet'!$E$10+1,1))</f>
        <v>507.43397352006832</v>
      </c>
      <c r="AO31" s="62">
        <f t="shared" si="36"/>
        <v>631.65579929520936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10.387801103284836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10.387801103284836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10.8</v>
      </c>
      <c r="BD31" s="13">
        <f>IF('Données projet'!$A$88&gt;35,BD30+BC31-BL30,IF(A31&lt;'Données projet'!$A$88,$BA$205^A31,IF(A31='Données projet'!$A$88,'Données projet'!$B$88,BD30+BC31-BL30)))</f>
        <v>156.40000000000003</v>
      </c>
      <c r="BE31" s="14">
        <f>BD31*VLOOKUP('Données projet'!$B$11,Paramètres!$A$1:$I$89,3,0)*VLOOKUP('Données projet'!$B$11,Paramètres!$A$1:$I$89,5,0)</f>
        <v>121.99200000000003</v>
      </c>
      <c r="BF31" s="14">
        <f t="shared" si="37"/>
        <v>32.139154469866327</v>
      </c>
      <c r="BG31" s="22">
        <f t="shared" si="7"/>
        <v>268.44509403501723</v>
      </c>
      <c r="BH31" s="62">
        <f t="shared" si="8"/>
        <v>559.33398292390609</v>
      </c>
      <c r="BI31" s="62">
        <f ca="1">AVERAGE(OFFSET($BH$3,0,0,'Données projet'!$E$11+1,1))-AVERAGE(OFFSET($H$3,0,0,'Données projet'!$E$11+1,1))</f>
        <v>357.65167206083379</v>
      </c>
      <c r="BJ31" s="62">
        <f t="shared" si="38"/>
        <v>341.23389735986342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2.3111111111111109</v>
      </c>
      <c r="N32" s="14">
        <f>IF('Données projet'!$A$36&gt;35,N31+M32-V31,IF(A32&lt;'Données projet'!$A$36,$K$205^A32,IF(A32='Données projet'!$A$36,'Données projet'!$B$36,N31+M32-V31)))</f>
        <v>67.022222222222211</v>
      </c>
      <c r="O32" s="14">
        <f>N32*VLOOKUP('Données projet'!$B$9,Paramètres!$A$1:$I$89,3,0)*VLOOKUP('Données projet'!$B$9,Paramètres!$A$1:$I$89,5,0)</f>
        <v>60.641706666666657</v>
      </c>
      <c r="P32" s="14">
        <f t="shared" si="33"/>
        <v>17.330412001647879</v>
      </c>
      <c r="Q32" s="22">
        <f t="shared" si="2"/>
        <v>135.80144001398116</v>
      </c>
      <c r="R32" s="62">
        <f t="shared" si="0"/>
        <v>427.91255112509231</v>
      </c>
      <c r="S32" s="62">
        <f ca="1">AVERAGE(OFFSET($R$3,0,0,'Données projet'!$E$9+1,1))-AVERAGE(OFFSET($H$3,0,0,'Données projet'!$E$9+1,1))</f>
        <v>430.41482167204606</v>
      </c>
      <c r="T32" s="62">
        <f t="shared" si="34"/>
        <v>177.02794100524551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23.2</v>
      </c>
      <c r="AI32" s="14">
        <f>IF('Données projet'!$A$62&gt;35,AI31+AH32-AQ31,IF(A32&lt;'Données projet'!$A$62,$AF$205^A32,IF(A32='Données projet'!$A$62,'Données projet'!$B$62,AI31+AH32-AQ31)))</f>
        <v>469.79999999999995</v>
      </c>
      <c r="AJ32" s="14">
        <f>AI32*VLOOKUP('Données projet'!$B$10,Paramètres!$A$1:$I$89,3,0)*VLOOKUP('Données projet'!$B$10,Paramètres!$A$1:$I$89,5,0)</f>
        <v>262.6182</v>
      </c>
      <c r="AK32" s="14">
        <f t="shared" si="35"/>
        <v>63.280146526887528</v>
      </c>
      <c r="AL32" s="22">
        <f t="shared" si="4"/>
        <v>567.60628686766233</v>
      </c>
      <c r="AM32" s="62">
        <f t="shared" si="5"/>
        <v>859.71739797877353</v>
      </c>
      <c r="AN32" s="62">
        <f ca="1">AVERAGE(OFFSET($AM$3,0,0,'Données projet'!$E$10+1,1))-AVERAGE(OFFSET($H$3,0,0,'Données projet'!$E$10+1,1))</f>
        <v>507.43397352006832</v>
      </c>
      <c r="AO32" s="62">
        <f t="shared" si="36"/>
        <v>631.65579929520936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10.103746135844794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10.103746135844794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10.8</v>
      </c>
      <c r="BD32" s="13">
        <f>IF('Données projet'!$A$88&gt;35,BD31+BC32-BL31,IF(A32&lt;'Données projet'!$A$88,$BA$205^A32,IF(A32='Données projet'!$A$88,'Données projet'!$B$88,BD31+BC32-BL31)))</f>
        <v>167.20000000000005</v>
      </c>
      <c r="BE32" s="14">
        <f>BD32*VLOOKUP('Données projet'!$B$11,Paramètres!$A$1:$I$89,3,0)*VLOOKUP('Données projet'!$B$11,Paramètres!$A$1:$I$89,5,0)</f>
        <v>130.41600000000005</v>
      </c>
      <c r="BF32" s="14">
        <f t="shared" si="37"/>
        <v>34.092466837179941</v>
      </c>
      <c r="BG32" s="22">
        <f t="shared" si="7"/>
        <v>286.51891307475512</v>
      </c>
      <c r="BH32" s="62">
        <f t="shared" si="8"/>
        <v>578.6300241858662</v>
      </c>
      <c r="BI32" s="62">
        <f ca="1">AVERAGE(OFFSET($BH$3,0,0,'Données projet'!$E$11+1,1))-AVERAGE(OFFSET($H$3,0,0,'Données projet'!$E$11+1,1))</f>
        <v>357.65167206083379</v>
      </c>
      <c r="BJ32" s="62">
        <f t="shared" si="38"/>
        <v>341.23389735986342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2.3111111111111109</v>
      </c>
      <c r="N33" s="14">
        <f>IF('Données projet'!$A$36&gt;35,N32+M33-V32,IF(A33&lt;'Données projet'!$A$36,$K$205^A33,IF(A33='Données projet'!$A$36,'Données projet'!$B$36,N32+M33-V32)))</f>
        <v>69.333333333333329</v>
      </c>
      <c r="O33" s="14">
        <f>N33*VLOOKUP('Données projet'!$B$9,Paramètres!$A$1:$I$89,3,0)*VLOOKUP('Données projet'!$B$9,Paramètres!$A$1:$I$89,5,0)</f>
        <v>62.732799999999997</v>
      </c>
      <c r="P33" s="14">
        <f t="shared" si="33"/>
        <v>17.857405361863481</v>
      </c>
      <c r="Q33" s="22">
        <f t="shared" si="2"/>
        <v>140.36127433857891</v>
      </c>
      <c r="R33" s="62">
        <f t="shared" si="0"/>
        <v>433.69460767191219</v>
      </c>
      <c r="S33" s="62">
        <f ca="1">AVERAGE(OFFSET($R$3,0,0,'Données projet'!$E$9+1,1))-AVERAGE(OFFSET($H$3,0,0,'Données projet'!$E$9+1,1))</f>
        <v>430.41482167204606</v>
      </c>
      <c r="T33" s="62">
        <f t="shared" si="34"/>
        <v>177.02794100524551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493</v>
      </c>
      <c r="AG33" s="13">
        <f>VLOOKUP(A33,'Données projet'!$A$61:$I$81,9,0)</f>
        <v>23.2</v>
      </c>
      <c r="AH33" s="13">
        <f t="array" ref="AH33">INDEX(AG:AG,MIN(IF(ISNUMBER(AG33:AG229),ROW(AG33:AG229),"")))</f>
        <v>23.2</v>
      </c>
      <c r="AI33" s="14">
        <f>IF('Données projet'!$A$62&gt;35,AI32+AH33-AQ32,IF(A33&lt;'Données projet'!$A$62,$AF$205^A33,IF(A33='Données projet'!$A$62,'Données projet'!$B$62,AI32+AH33-AQ32)))</f>
        <v>492.99999999999994</v>
      </c>
      <c r="AJ33" s="14">
        <f>AI33*VLOOKUP('Données projet'!$B$10,Paramètres!$A$1:$I$89,3,0)*VLOOKUP('Données projet'!$B$10,Paramètres!$A$1:$I$89,5,0)</f>
        <v>275.58699999999999</v>
      </c>
      <c r="AK33" s="14">
        <f t="shared" si="35"/>
        <v>66.033554619259078</v>
      </c>
      <c r="AL33" s="22">
        <f t="shared" si="4"/>
        <v>594.98913262854285</v>
      </c>
      <c r="AM33" s="62">
        <f t="shared" si="5"/>
        <v>888.32246596187611</v>
      </c>
      <c r="AN33" s="62">
        <f ca="1">AVERAGE(OFFSET($AM$3,0,0,'Données projet'!$E$10+1,1))-AVERAGE(OFFSET($H$3,0,0,'Données projet'!$E$10+1,1))</f>
        <v>507.43397352006832</v>
      </c>
      <c r="AO33" s="62">
        <f t="shared" si="36"/>
        <v>631.65579929520936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67</v>
      </c>
      <c r="AR33" s="17">
        <f>IF(ISNA(VLOOKUP(A33,'Données projet'!$A$61:$I$81,5,0)),0%,VLOOKUP(A33,'Données projet'!$A$61:$I$81,5,0)*VLOOKUP('Données projet'!$B$10,Paramètres!$A$1:$I$89,7,0))</f>
        <v>0.22000000000000003</v>
      </c>
      <c r="AS33" s="17">
        <f>IF(ISNA(VLOOKUP(A33,'Données projet'!$A$61:$I$81,6,0)),0%,VLOOKUP(A33,'Données projet'!$A$61:$I$81,6,0)*VLOOKUP('Données projet'!$B$10,Paramètres!$A$1:$I$89,7,0))</f>
        <v>0.27500000000000002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10.930440080906962</v>
      </c>
      <c r="AV33" s="23">
        <f>EXP(-LN(2)/25)*AV32+(1-EXP(-LN(2)/25))/(LN(2)/25)*Calculateur!AQ33*Calculateur!AS33*VLOOKUP('Données projet'!$B$10,Paramètres!$A$1:$I$89,3,0)*0.475*44/12</f>
        <v>23.436712133282509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34.367152214189474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178</v>
      </c>
      <c r="BB33" s="13">
        <f>VLOOKUP(A33,'Données projet'!$A$87:$I$107,9,0)</f>
        <v>10.8</v>
      </c>
      <c r="BC33" s="13">
        <f t="array" ref="BC33">INDEX(BB:BB,MIN(IF(ISNUMBER(BB33:BB229),ROW(BB33:BB229),"")))</f>
        <v>10.8</v>
      </c>
      <c r="BD33" s="13">
        <f>IF('Données projet'!$A$88&gt;35,BD32+BC33-BL32,IF(A33&lt;'Données projet'!$A$88,$BA$205^A33,IF(A33='Données projet'!$A$88,'Données projet'!$B$88,BD32+BC33-BL32)))</f>
        <v>178.00000000000006</v>
      </c>
      <c r="BE33" s="14">
        <f>BD33*VLOOKUP('Données projet'!$B$11,Paramètres!$A$1:$I$89,3,0)*VLOOKUP('Données projet'!$B$11,Paramètres!$A$1:$I$89,5,0)</f>
        <v>138.84000000000006</v>
      </c>
      <c r="BF33" s="14">
        <f t="shared" si="37"/>
        <v>36.031137240112955</v>
      </c>
      <c r="BG33" s="22">
        <f t="shared" si="7"/>
        <v>304.56723069319679</v>
      </c>
      <c r="BH33" s="62">
        <f t="shared" si="8"/>
        <v>597.90056402653011</v>
      </c>
      <c r="BI33" s="62">
        <f ca="1">AVERAGE(OFFSET($BH$3,0,0,'Données projet'!$E$11+1,1))-AVERAGE(OFFSET($H$3,0,0,'Données projet'!$E$11+1,1))</f>
        <v>357.65167206083379</v>
      </c>
      <c r="BJ33" s="62">
        <f t="shared" si="38"/>
        <v>341.23389735986342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2.3111111111111109</v>
      </c>
      <c r="N34" s="14">
        <f>IF('Données projet'!$A$36&gt;35,N33+M34-V33,IF(A34&lt;'Données projet'!$A$36,$K$205^A34,IF(A34='Données projet'!$A$36,'Données projet'!$B$36,N33+M34-V33)))</f>
        <v>71.644444444444446</v>
      </c>
      <c r="O34" s="14">
        <f>N34*VLOOKUP('Données projet'!$B$9,Paramètres!$A$1:$I$89,3,0)*VLOOKUP('Données projet'!$B$9,Paramètres!$A$1:$I$89,5,0)</f>
        <v>64.823893333333331</v>
      </c>
      <c r="P34" s="14">
        <f t="shared" si="33"/>
        <v>18.382357550174284</v>
      </c>
      <c r="Q34" s="22">
        <f t="shared" si="2"/>
        <v>144.91755362210907</v>
      </c>
      <c r="R34" s="62">
        <f t="shared" si="0"/>
        <v>438.25088695544241</v>
      </c>
      <c r="S34" s="62">
        <f ca="1">AVERAGE(OFFSET($R$3,0,0,'Données projet'!$E$9+1,1))-AVERAGE(OFFSET($H$3,0,0,'Données projet'!$E$9+1,1))</f>
        <v>430.41482167204606</v>
      </c>
      <c r="T34" s="62">
        <f t="shared" si="34"/>
        <v>177.02794100524551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23.6</v>
      </c>
      <c r="AI34" s="14">
        <f>IF('Données projet'!$A$62&gt;35,AI33+AH34-AQ33,IF(A34&lt;'Données projet'!$A$62,$AF$205^A34,IF(A34='Données projet'!$A$62,'Données projet'!$B$62,AI33+AH34-AQ33)))</f>
        <v>449.59999999999991</v>
      </c>
      <c r="AJ34" s="14">
        <f>AI34*VLOOKUP('Données projet'!$B$10,Paramètres!$A$1:$I$89,3,0)*VLOOKUP('Données projet'!$B$10,Paramètres!$A$1:$I$89,5,0)</f>
        <v>251.32639999999995</v>
      </c>
      <c r="AK34" s="14">
        <f t="shared" si="35"/>
        <v>60.869881917806573</v>
      </c>
      <c r="AL34" s="22">
        <f t="shared" si="4"/>
        <v>543.74185767351298</v>
      </c>
      <c r="AM34" s="62">
        <f t="shared" si="5"/>
        <v>837.07519100684635</v>
      </c>
      <c r="AN34" s="62">
        <f ca="1">AVERAGE(OFFSET($AM$3,0,0,'Données projet'!$E$10+1,1))-AVERAGE(OFFSET($H$3,0,0,'Données projet'!$E$10+1,1))</f>
        <v>507.43397352006832</v>
      </c>
      <c r="AO34" s="62">
        <f t="shared" si="36"/>
        <v>631.65579929520936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10.716100817830522</v>
      </c>
      <c r="AV34" s="23">
        <f>EXP(-LN(2)/25)*AV33+(1-EXP(-LN(2)/25))/(LN(2)/25)*Calculateur!AQ34*Calculateur!AS34*VLOOKUP('Données projet'!$B$10,Paramètres!$A$1:$I$89,3,0)*0.475*44/12</f>
        <v>22.795834007514774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33.511934825345293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11.6</v>
      </c>
      <c r="BD34" s="13">
        <f>IF('Données projet'!$A$88&gt;35,BD33+BC34-BL33,IF(A34&lt;'Données projet'!$A$88,$BA$205^A34,IF(A34='Données projet'!$A$88,'Données projet'!$B$88,BD33+BC34-BL33)))</f>
        <v>166.60000000000005</v>
      </c>
      <c r="BE34" s="14">
        <f>BD34*VLOOKUP('Données projet'!$B$11,Paramètres!$A$1:$I$89,3,0)*VLOOKUP('Données projet'!$B$11,Paramètres!$A$1:$I$89,5,0)</f>
        <v>129.94800000000004</v>
      </c>
      <c r="BF34" s="14">
        <f t="shared" si="37"/>
        <v>33.984343379340828</v>
      </c>
      <c r="BG34" s="22">
        <f t="shared" si="7"/>
        <v>285.51549805235203</v>
      </c>
      <c r="BH34" s="62">
        <f t="shared" si="8"/>
        <v>578.84883138568534</v>
      </c>
      <c r="BI34" s="62">
        <f ca="1">AVERAGE(OFFSET($BH$3,0,0,'Données projet'!$E$11+1,1))-AVERAGE(OFFSET($H$3,0,0,'Données projet'!$E$11+1,1))</f>
        <v>357.65167206083379</v>
      </c>
      <c r="BJ34" s="62">
        <f t="shared" si="38"/>
        <v>341.23389735986342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2.3111111111111109</v>
      </c>
      <c r="N35" s="14">
        <f>IF('Données projet'!$A$36&gt;35,N34+M35-V34,IF(A35&lt;'Données projet'!$A$36,$K$205^A35,IF(A35='Données projet'!$A$36,'Données projet'!$B$36,N34+M35-V34)))</f>
        <v>73.955555555555563</v>
      </c>
      <c r="O35" s="14">
        <f>N35*VLOOKUP('Données projet'!$B$9,Paramètres!$A$1:$I$89,3,0)*VLOOKUP('Données projet'!$B$9,Paramètres!$A$1:$I$89,5,0)</f>
        <v>66.914986666666678</v>
      </c>
      <c r="P35" s="14">
        <f t="shared" si="33"/>
        <v>18.905341963114271</v>
      </c>
      <c r="Q35" s="22">
        <f t="shared" ref="Q35:Q66" si="53">(O35+P35)*0.475*44/12</f>
        <v>149.47040569686848</v>
      </c>
      <c r="R35" s="62">
        <f t="shared" si="0"/>
        <v>442.80373903020177</v>
      </c>
      <c r="S35" s="62">
        <f ca="1">AVERAGE(OFFSET($R$3,0,0,'Données projet'!$E$9+1,1))-AVERAGE(OFFSET($H$3,0,0,'Données projet'!$E$9+1,1))</f>
        <v>430.41482167204606</v>
      </c>
      <c r="T35" s="62">
        <f t="shared" si="34"/>
        <v>177.02794100524551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23.6</v>
      </c>
      <c r="AI35" s="14">
        <f>IF('Données projet'!$A$62&gt;35,AI34+AH35-AQ34,IF(A35&lt;'Données projet'!$A$62,$AF$205^A35,IF(A35='Données projet'!$A$62,'Données projet'!$B$62,AI34+AH35-AQ34)))</f>
        <v>473.19999999999993</v>
      </c>
      <c r="AJ35" s="14">
        <f>AI35*VLOOKUP('Données projet'!$B$10,Paramètres!$A$1:$I$89,3,0)*VLOOKUP('Données projet'!$B$10,Paramètres!$A$1:$I$89,5,0)</f>
        <v>264.5188</v>
      </c>
      <c r="AK35" s="14">
        <f t="shared" si="35"/>
        <v>63.684635433510195</v>
      </c>
      <c r="AL35" s="22">
        <f t="shared" si="4"/>
        <v>571.62098338003022</v>
      </c>
      <c r="AM35" s="62">
        <f t="shared" si="5"/>
        <v>864.9543167133636</v>
      </c>
      <c r="AN35" s="62">
        <f ca="1">AVERAGE(OFFSET($AM$3,0,0,'Données projet'!$E$10+1,1))-AVERAGE(OFFSET($H$3,0,0,'Données projet'!$E$10+1,1))</f>
        <v>507.43397352006832</v>
      </c>
      <c r="AO35" s="62">
        <f t="shared" si="36"/>
        <v>631.65579929520936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10.505964616968971</v>
      </c>
      <c r="AV35" s="23">
        <f>EXP(-LN(2)/25)*AV34+(1-EXP(-LN(2)/25))/(LN(2)/25)*Calculateur!AQ35*Calculateur!AS35*VLOOKUP('Données projet'!$B$10,Paramètres!$A$1:$I$89,3,0)*0.475*44/12</f>
        <v>22.172480727798472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32.678445344767439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11.6</v>
      </c>
      <c r="BD35" s="13">
        <f>IF('Données projet'!$A$88&gt;35,BD34+BC35-BL34,IF(A35&lt;'Données projet'!$A$88,$BA$205^A35,IF(A35='Données projet'!$A$88,'Données projet'!$B$88,BD34+BC35-BL34)))</f>
        <v>178.20000000000005</v>
      </c>
      <c r="BE35" s="14">
        <f>BD35*VLOOKUP('Données projet'!$B$11,Paramètres!$A$1:$I$89,3,0)*VLOOKUP('Données projet'!$B$11,Paramètres!$A$1:$I$89,5,0)</f>
        <v>138.99600000000004</v>
      </c>
      <c r="BF35" s="14">
        <f t="shared" si="37"/>
        <v>36.066906938767758</v>
      </c>
      <c r="BG35" s="22">
        <f t="shared" si="7"/>
        <v>304.90122958502059</v>
      </c>
      <c r="BH35" s="62">
        <f t="shared" si="8"/>
        <v>598.23456291835396</v>
      </c>
      <c r="BI35" s="62">
        <f ca="1">AVERAGE(OFFSET($BH$3,0,0,'Données projet'!$E$11+1,1))-AVERAGE(OFFSET($H$3,0,0,'Données projet'!$E$11+1,1))</f>
        <v>357.65167206083379</v>
      </c>
      <c r="BJ35" s="62">
        <f t="shared" si="38"/>
        <v>341.23389735986342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2.3111111111111109</v>
      </c>
      <c r="N36" s="14">
        <f>IF('Données projet'!$A$36&gt;35,N35+M36-V35,IF(A36&lt;'Données projet'!$A$36,$K$205^A36,IF(A36='Données projet'!$A$36,'Données projet'!$B$36,N35+M36-V35)))</f>
        <v>76.26666666666668</v>
      </c>
      <c r="O36" s="14">
        <f>N36*VLOOKUP('Données projet'!$B$9,Paramètres!$A$1:$I$89,3,0)*VLOOKUP('Données projet'!$B$9,Paramètres!$A$1:$I$89,5,0)</f>
        <v>69.006080000000011</v>
      </c>
      <c r="P36" s="14">
        <f t="shared" si="33"/>
        <v>19.426427149378085</v>
      </c>
      <c r="Q36" s="22">
        <f t="shared" si="53"/>
        <v>154.0199499518335</v>
      </c>
      <c r="R36" s="62">
        <f t="shared" si="0"/>
        <v>447.35328328516681</v>
      </c>
      <c r="S36" s="62">
        <f ca="1">AVERAGE(OFFSET($R$3,0,0,'Données projet'!$E$9+1,1))-AVERAGE(OFFSET($H$3,0,0,'Données projet'!$E$9+1,1))</f>
        <v>430.41482167204606</v>
      </c>
      <c r="T36" s="62">
        <f t="shared" si="34"/>
        <v>177.02794100524551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23.6</v>
      </c>
      <c r="AI36" s="14">
        <f>IF('Données projet'!$A$62&gt;35,AI35+AH36-AQ35,IF(A36&lt;'Données projet'!$A$62,$AF$205^A36,IF(A36='Données projet'!$A$62,'Données projet'!$B$62,AI35+AH36-AQ35)))</f>
        <v>496.79999999999995</v>
      </c>
      <c r="AJ36" s="14">
        <f>AI36*VLOOKUP('Données projet'!$B$10,Paramètres!$A$1:$I$89,3,0)*VLOOKUP('Données projet'!$B$10,Paramètres!$A$1:$I$89,5,0)</f>
        <v>277.71119999999996</v>
      </c>
      <c r="AK36" s="14">
        <f t="shared" si="35"/>
        <v>66.483088830894033</v>
      </c>
      <c r="AL36" s="22">
        <f t="shared" si="4"/>
        <v>599.47171971380703</v>
      </c>
      <c r="AM36" s="62">
        <f t="shared" si="5"/>
        <v>892.80505304714029</v>
      </c>
      <c r="AN36" s="62">
        <f ca="1">AVERAGE(OFFSET($AM$3,0,0,'Données projet'!$E$10+1,1))-AVERAGE(OFFSET($H$3,0,0,'Données projet'!$E$10+1,1))</f>
        <v>507.43397352006832</v>
      </c>
      <c r="AO36" s="62">
        <f t="shared" si="36"/>
        <v>631.65579929520936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10.299949058835887</v>
      </c>
      <c r="AV36" s="23">
        <f>EXP(-LN(2)/25)*AV35+(1-EXP(-LN(2)/25))/(LN(2)/25)*Calculateur!AQ36*Calculateur!AS36*VLOOKUP('Données projet'!$B$10,Paramètres!$A$1:$I$89,3,0)*0.475*44/12</f>
        <v>21.566173076296739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31.866122135132628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11.6</v>
      </c>
      <c r="BD36" s="13">
        <f>IF('Données projet'!$A$88&gt;35,BD35+BC36-BL35,IF(A36&lt;'Données projet'!$A$88,$BA$205^A36,IF(A36='Données projet'!$A$88,'Données projet'!$B$88,BD35+BC36-BL35)))</f>
        <v>189.80000000000004</v>
      </c>
      <c r="BE36" s="14">
        <f>BD36*VLOOKUP('Données projet'!$B$11,Paramètres!$A$1:$I$89,3,0)*VLOOKUP('Données projet'!$B$11,Paramètres!$A$1:$I$89,5,0)</f>
        <v>148.04400000000004</v>
      </c>
      <c r="BF36" s="14">
        <f t="shared" si="37"/>
        <v>38.133738604016052</v>
      </c>
      <c r="BG36" s="22">
        <f t="shared" si="7"/>
        <v>324.25956140199474</v>
      </c>
      <c r="BH36" s="62">
        <f t="shared" si="8"/>
        <v>617.59289473532806</v>
      </c>
      <c r="BI36" s="62">
        <f ca="1">AVERAGE(OFFSET($BH$3,0,0,'Données projet'!$E$11+1,1))-AVERAGE(OFFSET($H$3,0,0,'Données projet'!$E$11+1,1))</f>
        <v>357.65167206083379</v>
      </c>
      <c r="BJ36" s="62">
        <f t="shared" si="38"/>
        <v>341.23389735986342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2.3111111111111109</v>
      </c>
      <c r="N37" s="14">
        <f>IF('Données projet'!$A$36&gt;35,N36+M37-V36,IF(A37&lt;'Données projet'!$A$36,$K$205^A37,IF(A37='Données projet'!$A$36,'Données projet'!$B$36,N36+M37-V36)))</f>
        <v>78.577777777777797</v>
      </c>
      <c r="O37" s="14">
        <f>N37*VLOOKUP('Données projet'!$B$9,Paramètres!$A$1:$I$89,3,0)*VLOOKUP('Données projet'!$B$9,Paramètres!$A$1:$I$89,5,0)</f>
        <v>71.097173333333345</v>
      </c>
      <c r="P37" s="14">
        <f t="shared" si="33"/>
        <v>19.945677267111513</v>
      </c>
      <c r="Q37" s="22">
        <f t="shared" si="53"/>
        <v>158.56629812910811</v>
      </c>
      <c r="R37" s="62">
        <f t="shared" si="0"/>
        <v>451.89963146244145</v>
      </c>
      <c r="S37" s="62">
        <f ca="1">AVERAGE(OFFSET($R$3,0,0,'Données projet'!$E$9+1,1))-AVERAGE(OFFSET($H$3,0,0,'Données projet'!$E$9+1,1))</f>
        <v>430.41482167204606</v>
      </c>
      <c r="T37" s="62">
        <f t="shared" si="34"/>
        <v>177.02794100524551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23.6</v>
      </c>
      <c r="AI37" s="14">
        <f>IF('Données projet'!$A$62&gt;35,AI36+AH37-AQ36,IF(A37&lt;'Données projet'!$A$62,$AF$205^A37,IF(A37='Données projet'!$A$62,'Données projet'!$B$62,AI36+AH37-AQ36)))</f>
        <v>520.4</v>
      </c>
      <c r="AJ37" s="14">
        <f>AI37*VLOOKUP('Données projet'!$B$10,Paramètres!$A$1:$I$89,3,0)*VLOOKUP('Données projet'!$B$10,Paramètres!$A$1:$I$89,5,0)</f>
        <v>290.90359999999998</v>
      </c>
      <c r="AK37" s="14">
        <f t="shared" si="35"/>
        <v>69.266104840352426</v>
      </c>
      <c r="AL37" s="22">
        <f t="shared" si="4"/>
        <v>627.29556926361386</v>
      </c>
      <c r="AM37" s="62">
        <f t="shared" si="5"/>
        <v>920.62890259694723</v>
      </c>
      <c r="AN37" s="62">
        <f ca="1">AVERAGE(OFFSET($AM$3,0,0,'Données projet'!$E$10+1,1))-AVERAGE(OFFSET($H$3,0,0,'Données projet'!$E$10+1,1))</f>
        <v>507.43397352006832</v>
      </c>
      <c r="AO37" s="62">
        <f t="shared" si="36"/>
        <v>631.65579929520936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10.097973340140712</v>
      </c>
      <c r="AV37" s="23">
        <f>EXP(-LN(2)/25)*AV36+(1-EXP(-LN(2)/25))/(LN(2)/25)*Calculateur!AQ37*Calculateur!AS37*VLOOKUP('Données projet'!$B$10,Paramètres!$A$1:$I$89,3,0)*0.475*44/12</f>
        <v>20.976444939409653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31.074418279550365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11.6</v>
      </c>
      <c r="BD37" s="13">
        <f>IF('Données projet'!$A$88&gt;35,BD36+BC37-BL36,IF(A37&lt;'Données projet'!$A$88,$BA$205^A37,IF(A37='Données projet'!$A$88,'Données projet'!$B$88,BD36+BC37-BL36)))</f>
        <v>201.40000000000003</v>
      </c>
      <c r="BE37" s="14">
        <f>BD37*VLOOKUP('Données projet'!$B$11,Paramètres!$A$1:$I$89,3,0)*VLOOKUP('Données projet'!$B$11,Paramètres!$A$1:$I$89,5,0)</f>
        <v>157.09200000000004</v>
      </c>
      <c r="BF37" s="14">
        <f t="shared" si="37"/>
        <v>40.185909342127296</v>
      </c>
      <c r="BG37" s="22">
        <f t="shared" si="7"/>
        <v>343.59235877087173</v>
      </c>
      <c r="BH37" s="62">
        <f t="shared" si="8"/>
        <v>636.92569210420504</v>
      </c>
      <c r="BI37" s="62">
        <f ca="1">AVERAGE(OFFSET($BH$3,0,0,'Données projet'!$E$11+1,1))-AVERAGE(OFFSET($H$3,0,0,'Données projet'!$E$11+1,1))</f>
        <v>357.65167206083379</v>
      </c>
      <c r="BJ37" s="62">
        <f t="shared" si="38"/>
        <v>341.23389735986342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2.3111111111111109</v>
      </c>
      <c r="N38" s="14">
        <f>IF('Données projet'!$A$36&gt;35,N37+M38-V37,IF(A38&lt;'Données projet'!$A$36,$K$205^A38,IF(A38='Données projet'!$A$36,'Données projet'!$B$36,N37+M38-V37)))</f>
        <v>80.888888888888914</v>
      </c>
      <c r="O38" s="14">
        <f>N38*VLOOKUP('Données projet'!$B$9,Paramètres!$A$1:$I$89,3,0)*VLOOKUP('Données projet'!$B$9,Paramètres!$A$1:$I$89,5,0)</f>
        <v>73.188266666666678</v>
      </c>
      <c r="P38" s="14">
        <f t="shared" si="33"/>
        <v>20.463152485891452</v>
      </c>
      <c r="Q38" s="22">
        <f t="shared" si="53"/>
        <v>163.10955502403874</v>
      </c>
      <c r="R38" s="62">
        <f t="shared" si="0"/>
        <v>456.44288835737206</v>
      </c>
      <c r="S38" s="62">
        <f ca="1">AVERAGE(OFFSET($R$3,0,0,'Données projet'!$E$9+1,1))-AVERAGE(OFFSET($H$3,0,0,'Données projet'!$E$9+1,1))</f>
        <v>430.41482167204606</v>
      </c>
      <c r="T38" s="62">
        <f t="shared" si="34"/>
        <v>177.02794100524551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544</v>
      </c>
      <c r="AG38" s="13">
        <f>VLOOKUP(A38,'Données projet'!$A$61:$I$81,9,0)</f>
        <v>23.6</v>
      </c>
      <c r="AH38" s="13">
        <f t="array" ref="AH38">INDEX(AG:AG,MIN(IF(ISNUMBER(AG38:AG234),ROW(AG38:AG234),"")))</f>
        <v>23.6</v>
      </c>
      <c r="AI38" s="14">
        <f>IF('Données projet'!$A$62&gt;35,AI37+AH38-AQ37,IF(A38&lt;'Données projet'!$A$62,$AF$205^A38,IF(A38='Données projet'!$A$62,'Données projet'!$B$62,AI37+AH38-AQ37)))</f>
        <v>544</v>
      </c>
      <c r="AJ38" s="14">
        <f>AI38*VLOOKUP('Données projet'!$B$10,Paramètres!$A$1:$I$89,3,0)*VLOOKUP('Données projet'!$B$10,Paramètres!$A$1:$I$89,5,0)</f>
        <v>304.096</v>
      </c>
      <c r="AK38" s="14">
        <f t="shared" si="35"/>
        <v>72.034463519873213</v>
      </c>
      <c r="AL38" s="22">
        <f t="shared" si="4"/>
        <v>655.0938906304458</v>
      </c>
      <c r="AM38" s="62">
        <f t="shared" si="5"/>
        <v>948.42722396377917</v>
      </c>
      <c r="AN38" s="62">
        <f ca="1">AVERAGE(OFFSET($AM$3,0,0,'Données projet'!$E$10+1,1))-AVERAGE(OFFSET($H$3,0,0,'Données projet'!$E$10+1,1))</f>
        <v>507.43397352006832</v>
      </c>
      <c r="AO38" s="62">
        <f t="shared" si="36"/>
        <v>631.65579929520936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72</v>
      </c>
      <c r="AR38" s="17">
        <f>IF(ISNA(VLOOKUP(A38,'Données projet'!$A$61:$I$81,5,0)),0%,VLOOKUP(A38,'Données projet'!$A$61:$I$81,5,0)*VLOOKUP('Données projet'!$B$10,Paramètres!$A$1:$I$89,7,0))</f>
        <v>0.22000000000000003</v>
      </c>
      <c r="AS38" s="17">
        <f>IF(ISNA(VLOOKUP(A38,'Données projet'!$A$61:$I$81,6,0)),0%,VLOOKUP(A38,'Données projet'!$A$61:$I$81,6,0)*VLOOKUP('Données projet'!$B$10,Paramètres!$A$1:$I$89,7,0))</f>
        <v>0.27500000000000002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21.646102806652863</v>
      </c>
      <c r="AV38" s="23">
        <f>EXP(-LN(2)/25)*AV37+(1-EXP(-LN(2)/25))/(LN(2)/25)*Calculateur!AQ38*Calculateur!AS38*VLOOKUP('Données projet'!$B$10,Paramètres!$A$1:$I$89,3,0)*0.475*44/12</f>
        <v>35.027712346655839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56.673815153308702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213</v>
      </c>
      <c r="BB38" s="13">
        <f>VLOOKUP(A38,'Données projet'!$A$87:$I$107,9,0)</f>
        <v>11.6</v>
      </c>
      <c r="BC38" s="13">
        <f t="array" ref="BC38">INDEX(BB:BB,MIN(IF(ISNUMBER(BB38:BB234),ROW(BB38:BB234),"")))</f>
        <v>11.6</v>
      </c>
      <c r="BD38" s="13">
        <f>IF('Données projet'!$A$88&gt;35,BD37+BC38-BL37,IF(A38&lt;'Données projet'!$A$88,$BA$205^A38,IF(A38='Données projet'!$A$88,'Données projet'!$B$88,BD37+BC38-BL37)))</f>
        <v>213.00000000000003</v>
      </c>
      <c r="BE38" s="14">
        <f>BD38*VLOOKUP('Données projet'!$B$11,Paramètres!$A$1:$I$89,3,0)*VLOOKUP('Données projet'!$B$11,Paramètres!$A$1:$I$89,5,0)</f>
        <v>166.14000000000001</v>
      </c>
      <c r="BF38" s="14">
        <f t="shared" si="37"/>
        <v>42.224359783104845</v>
      </c>
      <c r="BG38" s="22">
        <f t="shared" si="7"/>
        <v>362.90125995557429</v>
      </c>
      <c r="BH38" s="62">
        <f t="shared" si="8"/>
        <v>656.2345932889076</v>
      </c>
      <c r="BI38" s="62">
        <f ca="1">AVERAGE(OFFSET($BH$3,0,0,'Données projet'!$E$11+1,1))-AVERAGE(OFFSET($H$3,0,0,'Données projet'!$E$11+1,1))</f>
        <v>357.65167206083379</v>
      </c>
      <c r="BJ38" s="62">
        <f t="shared" si="38"/>
        <v>341.23389735986342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0.215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5.3550658146377721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5.3550658146377721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2.3111111111111109</v>
      </c>
      <c r="N39" s="14">
        <f>IF('Données projet'!$A$36&gt;35,N38+M39-V38,IF(A39&lt;'Données projet'!$A$36,$K$205^A39,IF(A39='Données projet'!$A$36,'Données projet'!$B$36,N38+M39-V38)))</f>
        <v>83.200000000000031</v>
      </c>
      <c r="O39" s="14">
        <f>N39*VLOOKUP('Données projet'!$B$9,Paramètres!$A$1:$I$89,3,0)*VLOOKUP('Données projet'!$B$9,Paramètres!$A$1:$I$89,5,0)</f>
        <v>75.279360000000025</v>
      </c>
      <c r="P39" s="14">
        <f t="shared" si="33"/>
        <v>20.978909341473841</v>
      </c>
      <c r="Q39" s="22">
        <f t="shared" si="53"/>
        <v>167.64981910306696</v>
      </c>
      <c r="R39" s="62">
        <f t="shared" si="0"/>
        <v>460.98315243640025</v>
      </c>
      <c r="S39" s="62">
        <f ca="1">AVERAGE(OFFSET($R$3,0,0,'Données projet'!$E$9+1,1))-AVERAGE(OFFSET($H$3,0,0,'Données projet'!$E$9+1,1))</f>
        <v>430.41482167204606</v>
      </c>
      <c r="T39" s="62">
        <f t="shared" si="34"/>
        <v>177.02794100524551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20.6</v>
      </c>
      <c r="AI39" s="14">
        <f>IF('Données projet'!$A$62&gt;35,AI38+AH39-AQ38,IF(A39&lt;'Données projet'!$A$62,$AF$205^A39,IF(A39='Données projet'!$A$62,'Données projet'!$B$62,AI38+AH39-AQ38)))</f>
        <v>492.6</v>
      </c>
      <c r="AJ39" s="14">
        <f>AI39*VLOOKUP('Données projet'!$B$10,Paramètres!$A$1:$I$89,3,0)*VLOOKUP('Données projet'!$B$10,Paramètres!$A$1:$I$89,5,0)</f>
        <v>275.36340000000001</v>
      </c>
      <c r="AK39" s="14">
        <f t="shared" si="35"/>
        <v>65.986211816082744</v>
      </c>
      <c r="AL39" s="22">
        <f t="shared" si="4"/>
        <v>594.51724057967738</v>
      </c>
      <c r="AM39" s="62">
        <f t="shared" si="5"/>
        <v>887.85057391301075</v>
      </c>
      <c r="AN39" s="62">
        <f ca="1">AVERAGE(OFFSET($AM$3,0,0,'Données projet'!$E$10+1,1))-AVERAGE(OFFSET($H$3,0,0,'Données projet'!$E$10+1,1))</f>
        <v>507.43397352006832</v>
      </c>
      <c r="AO39" s="62">
        <f t="shared" si="36"/>
        <v>631.65579929520936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21.221635933433443</v>
      </c>
      <c r="AV39" s="23">
        <f>EXP(-LN(2)/25)*AV38+(1-EXP(-LN(2)/25))/(LN(2)/25)*Calculateur!AQ39*Calculateur!AS39*VLOOKUP('Données projet'!$B$10,Paramètres!$A$1:$I$89,3,0)*0.475*44/12</f>
        <v>34.069877710509203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55.29151364394265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195.40000000000003</v>
      </c>
      <c r="BE39" s="14">
        <f>BD39*VLOOKUP('Données projet'!$B$11,Paramètres!$A$1:$I$89,3,0)*VLOOKUP('Données projet'!$B$11,Paramètres!$A$1:$I$89,5,0)</f>
        <v>152.41200000000003</v>
      </c>
      <c r="BF39" s="14">
        <f t="shared" si="37"/>
        <v>39.126211343688098</v>
      </c>
      <c r="BG39" s="22">
        <f t="shared" si="7"/>
        <v>333.59571809025681</v>
      </c>
      <c r="BH39" s="62">
        <f t="shared" si="8"/>
        <v>626.92905142359018</v>
      </c>
      <c r="BI39" s="62">
        <f ca="1">AVERAGE(OFFSET($BH$3,0,0,'Données projet'!$E$11+1,1))-AVERAGE(OFFSET($H$3,0,0,'Données projet'!$E$11+1,1))</f>
        <v>357.65167206083379</v>
      </c>
      <c r="BJ39" s="62">
        <f t="shared" si="38"/>
        <v>341.23389735986342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5.2086312583258305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5.2086312583258305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2.3111111111111109</v>
      </c>
      <c r="N40" s="14">
        <f>IF('Données projet'!$A$36&gt;35,N39+M40-V39,IF(A40&lt;'Données projet'!$A$36,$K$205^A40,IF(A40='Données projet'!$A$36,'Données projet'!$B$36,N39+M40-V39)))</f>
        <v>85.511111111111148</v>
      </c>
      <c r="O40" s="14">
        <f>N40*VLOOKUP('Données projet'!$B$9,Paramètres!$A$1:$I$89,3,0)*VLOOKUP('Données projet'!$B$9,Paramètres!$A$1:$I$89,5,0)</f>
        <v>77.370453333333373</v>
      </c>
      <c r="P40" s="14">
        <f t="shared" si="33"/>
        <v>21.493001050017163</v>
      </c>
      <c r="Q40" s="22">
        <f t="shared" si="53"/>
        <v>172.18718305100217</v>
      </c>
      <c r="R40" s="62">
        <f t="shared" si="0"/>
        <v>465.52051638433545</v>
      </c>
      <c r="S40" s="62">
        <f ca="1">AVERAGE(OFFSET($R$3,0,0,'Données projet'!$E$9+1,1))-AVERAGE(OFFSET($H$3,0,0,'Données projet'!$E$9+1,1))</f>
        <v>430.41482167204606</v>
      </c>
      <c r="T40" s="62">
        <f t="shared" si="34"/>
        <v>177.02794100524551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20.6</v>
      </c>
      <c r="AI40" s="14">
        <f>IF('Données projet'!$A$62&gt;35,AI39+AH40-AQ39,IF(A40&lt;'Données projet'!$A$62,$AF$205^A40,IF(A40='Données projet'!$A$62,'Données projet'!$B$62,AI39+AH40-AQ39)))</f>
        <v>513.20000000000005</v>
      </c>
      <c r="AJ40" s="14">
        <f>AI40*VLOOKUP('Données projet'!$B$10,Paramètres!$A$1:$I$89,3,0)*VLOOKUP('Données projet'!$B$10,Paramètres!$A$1:$I$89,5,0)</f>
        <v>286.87880000000001</v>
      </c>
      <c r="AK40" s="14">
        <f t="shared" si="35"/>
        <v>68.418637327470776</v>
      </c>
      <c r="AL40" s="22">
        <f t="shared" si="4"/>
        <v>618.80970334534493</v>
      </c>
      <c r="AM40" s="62">
        <f t="shared" si="5"/>
        <v>912.1430366786783</v>
      </c>
      <c r="AN40" s="62">
        <f ca="1">AVERAGE(OFFSET($AM$3,0,0,'Données projet'!$E$10+1,1))-AVERAGE(OFFSET($H$3,0,0,'Données projet'!$E$10+1,1))</f>
        <v>507.43397352006832</v>
      </c>
      <c r="AO40" s="62">
        <f t="shared" si="36"/>
        <v>631.65579929520936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20.805492596698627</v>
      </c>
      <c r="AV40" s="23">
        <f>EXP(-LN(2)/25)*AV39+(1-EXP(-LN(2)/25))/(LN(2)/25)*Calculateur!AQ40*Calculateur!AS40*VLOOKUP('Données projet'!$B$10,Paramètres!$A$1:$I$89,3,0)*0.475*44/12</f>
        <v>33.138235112858325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53.943727709556953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206.80000000000004</v>
      </c>
      <c r="BE40" s="14">
        <f>BD40*VLOOKUP('Données projet'!$B$11,Paramètres!$A$1:$I$89,3,0)*VLOOKUP('Données projet'!$B$11,Paramètres!$A$1:$I$89,5,0)</f>
        <v>161.30400000000003</v>
      </c>
      <c r="BF40" s="14">
        <f t="shared" si="37"/>
        <v>41.136497157560399</v>
      </c>
      <c r="BG40" s="22">
        <f t="shared" si="7"/>
        <v>352.58386588275107</v>
      </c>
      <c r="BH40" s="62">
        <f t="shared" si="8"/>
        <v>645.91719921608433</v>
      </c>
      <c r="BI40" s="62">
        <f ca="1">AVERAGE(OFFSET($BH$3,0,0,'Données projet'!$E$11+1,1))-AVERAGE(OFFSET($H$3,0,0,'Données projet'!$E$11+1,1))</f>
        <v>357.65167206083379</v>
      </c>
      <c r="BJ40" s="62">
        <f t="shared" si="38"/>
        <v>341.23389735986342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5.0662009626568976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5.0662009626568976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2.3111111111111109</v>
      </c>
      <c r="N41" s="14">
        <f>IF('Données projet'!$A$36&gt;35,N40+M41-V40,IF(A41&lt;'Données projet'!$A$36,$K$205^A41,IF(A41='Données projet'!$A$36,'Données projet'!$B$36,N40+M41-V40)))</f>
        <v>87.822222222222265</v>
      </c>
      <c r="O41" s="14">
        <f>N41*VLOOKUP('Données projet'!$B$9,Paramètres!$A$1:$I$89,3,0)*VLOOKUP('Données projet'!$B$9,Paramètres!$A$1:$I$89,5,0)</f>
        <v>79.461546666666706</v>
      </c>
      <c r="P41" s="14">
        <f t="shared" si="33"/>
        <v>22.00547778738062</v>
      </c>
      <c r="Q41" s="22">
        <f t="shared" si="53"/>
        <v>176.72173425746576</v>
      </c>
      <c r="R41" s="62">
        <f t="shared" si="0"/>
        <v>470.05506759079907</v>
      </c>
      <c r="S41" s="62">
        <f ca="1">AVERAGE(OFFSET($R$3,0,0,'Données projet'!$E$9+1,1))-AVERAGE(OFFSET($H$3,0,0,'Données projet'!$E$9+1,1))</f>
        <v>430.41482167204606</v>
      </c>
      <c r="T41" s="62">
        <f t="shared" si="34"/>
        <v>177.02794100524551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20.6</v>
      </c>
      <c r="AI41" s="14">
        <f>IF('Données projet'!$A$62&gt;35,AI40+AH41-AQ40,IF(A41&lt;'Données projet'!$A$62,$AF$205^A41,IF(A41='Données projet'!$A$62,'Données projet'!$B$62,AI40+AH41-AQ40)))</f>
        <v>533.80000000000007</v>
      </c>
      <c r="AJ41" s="14">
        <f>AI41*VLOOKUP('Données projet'!$B$10,Paramètres!$A$1:$I$89,3,0)*VLOOKUP('Données projet'!$B$10,Paramètres!$A$1:$I$89,5,0)</f>
        <v>298.39420000000001</v>
      </c>
      <c r="AK41" s="14">
        <f t="shared" si="35"/>
        <v>70.839721035722363</v>
      </c>
      <c r="AL41" s="22">
        <f t="shared" si="4"/>
        <v>643.08241247054968</v>
      </c>
      <c r="AM41" s="62">
        <f t="shared" si="5"/>
        <v>936.41574580388306</v>
      </c>
      <c r="AN41" s="62">
        <f ca="1">AVERAGE(OFFSET($AM$3,0,0,'Données projet'!$E$10+1,1))-AVERAGE(OFFSET($H$3,0,0,'Données projet'!$E$10+1,1))</f>
        <v>507.43397352006832</v>
      </c>
      <c r="AO41" s="62">
        <f t="shared" si="36"/>
        <v>631.65579929520936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20.397509576974809</v>
      </c>
      <c r="AV41" s="23">
        <f>EXP(-LN(2)/25)*AV40+(1-EXP(-LN(2)/25))/(LN(2)/25)*Calculateur!AQ41*Calculateur!AS41*VLOOKUP('Données projet'!$B$10,Paramètres!$A$1:$I$89,3,0)*0.475*44/12</f>
        <v>32.232068331033169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52.629577908007974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218.20000000000005</v>
      </c>
      <c r="BE41" s="14">
        <f>BD41*VLOOKUP('Données projet'!$B$11,Paramètres!$A$1:$I$89,3,0)*VLOOKUP('Données projet'!$B$11,Paramètres!$A$1:$I$89,5,0)</f>
        <v>170.19600000000005</v>
      </c>
      <c r="BF41" s="14">
        <f t="shared" si="37"/>
        <v>43.13391812093576</v>
      </c>
      <c r="BG41" s="22">
        <f t="shared" si="7"/>
        <v>371.54960739396319</v>
      </c>
      <c r="BH41" s="62">
        <f t="shared" si="8"/>
        <v>664.8829407272965</v>
      </c>
      <c r="BI41" s="62">
        <f ca="1">AVERAGE(OFFSET($BH$3,0,0,'Données projet'!$E$11+1,1))-AVERAGE(OFFSET($H$3,0,0,'Données projet'!$E$11+1,1))</f>
        <v>357.65167206083379</v>
      </c>
      <c r="BJ41" s="62">
        <f t="shared" si="38"/>
        <v>341.23389735986342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4.9276654309131152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4.9276654309131152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2.3111111111111109</v>
      </c>
      <c r="N42" s="14">
        <f>IF('Données projet'!$A$36&gt;35,N41+M42-V41,IF(A42&lt;'Données projet'!$A$36,$K$205^A42,IF(A42='Données projet'!$A$36,'Données projet'!$B$36,N41+M42-V41)))</f>
        <v>90.133333333333383</v>
      </c>
      <c r="O42" s="14">
        <f>N42*VLOOKUP('Données projet'!$B$9,Paramètres!$A$1:$I$89,3,0)*VLOOKUP('Données projet'!$B$9,Paramètres!$A$1:$I$89,5,0)</f>
        <v>81.552640000000039</v>
      </c>
      <c r="P42" s="14">
        <f t="shared" si="33"/>
        <v>22.516386938195179</v>
      </c>
      <c r="Q42" s="22">
        <f t="shared" si="53"/>
        <v>181.25355525069003</v>
      </c>
      <c r="R42" s="62">
        <f t="shared" si="0"/>
        <v>474.58688858402331</v>
      </c>
      <c r="S42" s="62">
        <f ca="1">AVERAGE(OFFSET($R$3,0,0,'Données projet'!$E$9+1,1))-AVERAGE(OFFSET($H$3,0,0,'Données projet'!$E$9+1,1))</f>
        <v>430.41482167204606</v>
      </c>
      <c r="T42" s="62">
        <f t="shared" si="34"/>
        <v>177.02794100524551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20.6</v>
      </c>
      <c r="AI42" s="14">
        <f>IF('Données projet'!$A$62&gt;35,AI41+AH42-AQ41,IF(A42&lt;'Données projet'!$A$62,$AF$205^A42,IF(A42='Données projet'!$A$62,'Données projet'!$B$62,AI41+AH42-AQ41)))</f>
        <v>554.40000000000009</v>
      </c>
      <c r="AJ42" s="14">
        <f>AI42*VLOOKUP('Données projet'!$B$10,Paramètres!$A$1:$I$89,3,0)*VLOOKUP('Données projet'!$B$10,Paramètres!$A$1:$I$89,5,0)</f>
        <v>309.90960000000007</v>
      </c>
      <c r="AK42" s="14">
        <f t="shared" si="35"/>
        <v>73.249950733312943</v>
      </c>
      <c r="AL42" s="22">
        <f t="shared" si="4"/>
        <v>667.33621752718682</v>
      </c>
      <c r="AM42" s="62">
        <f t="shared" si="5"/>
        <v>960.66955086052008</v>
      </c>
      <c r="AN42" s="62">
        <f ca="1">AVERAGE(OFFSET($AM$3,0,0,'Données projet'!$E$10+1,1))-AVERAGE(OFFSET($H$3,0,0,'Données projet'!$E$10+1,1))</f>
        <v>507.43397352006832</v>
      </c>
      <c r="AO42" s="62">
        <f t="shared" si="36"/>
        <v>631.65579929520936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19.997526855422702</v>
      </c>
      <c r="AV42" s="23">
        <f>EXP(-LN(2)/25)*AV41+(1-EXP(-LN(2)/25))/(LN(2)/25)*Calculateur!AQ42*Calculateur!AS42*VLOOKUP('Données projet'!$B$10,Paramètres!$A$1:$I$89,3,0)*0.475*44/12</f>
        <v>31.350680727510262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51.348207582932964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229.60000000000005</v>
      </c>
      <c r="BE42" s="14">
        <f>BD42*VLOOKUP('Données projet'!$B$11,Paramètres!$A$1:$I$89,3,0)*VLOOKUP('Données projet'!$B$11,Paramètres!$A$1:$I$89,5,0)</f>
        <v>179.08800000000005</v>
      </c>
      <c r="BF42" s="14">
        <f t="shared" si="37"/>
        <v>45.119223023956835</v>
      </c>
      <c r="BG42" s="22">
        <f t="shared" si="7"/>
        <v>390.49424676672493</v>
      </c>
      <c r="BH42" s="62">
        <f t="shared" si="8"/>
        <v>683.82758010005819</v>
      </c>
      <c r="BI42" s="62">
        <f ca="1">AVERAGE(OFFSET($BH$3,0,0,'Données projet'!$E$11+1,1))-AVERAGE(OFFSET($H$3,0,0,'Données projet'!$E$11+1,1))</f>
        <v>357.65167206083379</v>
      </c>
      <c r="BJ42" s="62">
        <f t="shared" si="38"/>
        <v>341.23389735986342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4.7929181605701334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4.7929181605701334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2.3111111111111109</v>
      </c>
      <c r="N43" s="14">
        <f>IF('Données projet'!$A$36&gt;35,N42+M43-V42,IF(A43&lt;'Données projet'!$A$36,$K$205^A43,IF(A43='Données projet'!$A$36,'Données projet'!$B$36,N42+M43-V42)))</f>
        <v>92.4444444444445</v>
      </c>
      <c r="O43" s="14">
        <f>N43*VLOOKUP('Données projet'!$B$9,Paramètres!$A$1:$I$89,3,0)*VLOOKUP('Données projet'!$B$9,Paramètres!$A$1:$I$89,5,0)</f>
        <v>83.643733333333373</v>
      </c>
      <c r="P43" s="14">
        <f t="shared" si="33"/>
        <v>23.025773318670392</v>
      </c>
      <c r="Q43" s="22">
        <f t="shared" si="53"/>
        <v>185.78272408557322</v>
      </c>
      <c r="R43" s="62">
        <f t="shared" si="0"/>
        <v>479.11605741890651</v>
      </c>
      <c r="S43" s="62">
        <f ca="1">AVERAGE(OFFSET($R$3,0,0,'Données projet'!$E$9+1,1))-AVERAGE(OFFSET($H$3,0,0,'Données projet'!$E$9+1,1))</f>
        <v>430.41482167204606</v>
      </c>
      <c r="T43" s="62">
        <f t="shared" si="34"/>
        <v>177.02794100524551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575</v>
      </c>
      <c r="AG43" s="13">
        <f>VLOOKUP(A43,'Données projet'!$A$61:$I$81,9,0)</f>
        <v>20.6</v>
      </c>
      <c r="AH43" s="13">
        <f t="array" ref="AH43">INDEX(AG:AG,MIN(IF(ISNUMBER(AG43:AG239),ROW(AG43:AG239),"")))</f>
        <v>20.6</v>
      </c>
      <c r="AI43" s="14">
        <f>IF('Données projet'!$A$62&gt;35,AI42+AH43-AQ42,IF(A43&lt;'Données projet'!$A$62,$AF$205^A43,IF(A43='Données projet'!$A$62,'Données projet'!$B$62,AI42+AH43-AQ42)))</f>
        <v>575.00000000000011</v>
      </c>
      <c r="AJ43" s="14">
        <f>AI43*VLOOKUP('Données projet'!$B$10,Paramètres!$A$1:$I$89,3,0)*VLOOKUP('Données projet'!$B$10,Paramètres!$A$1:$I$89,5,0)</f>
        <v>321.42500000000007</v>
      </c>
      <c r="AK43" s="14">
        <f t="shared" si="35"/>
        <v>75.649775908797736</v>
      </c>
      <c r="AL43" s="22">
        <f t="shared" si="4"/>
        <v>691.57190137448958</v>
      </c>
      <c r="AM43" s="62">
        <f t="shared" si="5"/>
        <v>984.90523470782296</v>
      </c>
      <c r="AN43" s="62">
        <f ca="1">AVERAGE(OFFSET($AM$3,0,0,'Données projet'!$E$10+1,1))-AVERAGE(OFFSET($H$3,0,0,'Données projet'!$E$10+1,1))</f>
        <v>507.43397352006832</v>
      </c>
      <c r="AO43" s="62">
        <f t="shared" si="36"/>
        <v>631.65579929520936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79</v>
      </c>
      <c r="AR43" s="17">
        <f>IF(ISNA(VLOOKUP(A43,'Données projet'!$A$61:$I$81,5,0)),0%,VLOOKUP(A43,'Données projet'!$A$61:$I$81,5,0)*VLOOKUP('Données projet'!$B$10,Paramètres!$A$1:$I$89,7,0))</f>
        <v>0.22000000000000003</v>
      </c>
      <c r="AS43" s="17">
        <f>IF(ISNA(VLOOKUP(A43,'Données projet'!$A$61:$I$81,6,0)),0%,VLOOKUP(A43,'Données projet'!$A$61:$I$81,6,0)*VLOOKUP('Données projet'!$B$10,Paramètres!$A$1:$I$89,7,0))</f>
        <v>0.27500000000000002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32.493518392741279</v>
      </c>
      <c r="AV43" s="23">
        <f>EXP(-LN(2)/25)*AV42+(1-EXP(-LN(2)/25))/(LN(2)/25)*Calculateur!AQ43*Calculateur!AS43*VLOOKUP('Données projet'!$B$10,Paramètres!$A$1:$I$89,3,0)*0.475*44/12</f>
        <v>46.54012641408076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79.033644806822039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241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241.00000000000006</v>
      </c>
      <c r="BE43" s="14">
        <f>BD43*VLOOKUP('Données projet'!$B$11,Paramètres!$A$1:$I$89,3,0)*VLOOKUP('Données projet'!$B$11,Paramètres!$A$1:$I$89,5,0)</f>
        <v>187.98000000000005</v>
      </c>
      <c r="BF43" s="14">
        <f t="shared" si="37"/>
        <v>47.093082099012364</v>
      </c>
      <c r="BG43" s="22">
        <f t="shared" si="7"/>
        <v>409.41895132244662</v>
      </c>
      <c r="BH43" s="62">
        <f t="shared" si="8"/>
        <v>702.75228465577993</v>
      </c>
      <c r="BI43" s="62">
        <f ca="1">AVERAGE(OFFSET($BH$3,0,0,'Données projet'!$E$11+1,1))-AVERAGE(OFFSET($H$3,0,0,'Données projet'!$E$11+1,1))</f>
        <v>357.65167206083379</v>
      </c>
      <c r="BJ43" s="62">
        <f t="shared" si="38"/>
        <v>341.23389735986342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0.215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10.570893701710688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10.570893701710688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2.3111111111111109</v>
      </c>
      <c r="N44" s="14">
        <f>IF('Données projet'!$A$36&gt;35,N43+M44-V43,IF(A44&lt;'Données projet'!$A$36,$K$205^A44,IF(A44='Données projet'!$A$36,'Données projet'!$B$36,N43+M44-V43)))</f>
        <v>94.755555555555617</v>
      </c>
      <c r="O44" s="14">
        <f>N44*VLOOKUP('Données projet'!$B$9,Paramètres!$A$1:$I$89,3,0)*VLOOKUP('Données projet'!$B$9,Paramètres!$A$1:$I$89,5,0)</f>
        <v>85.73482666666672</v>
      </c>
      <c r="P44" s="14">
        <f t="shared" si="33"/>
        <v>23.533679376493186</v>
      </c>
      <c r="Q44" s="22">
        <f t="shared" si="53"/>
        <v>190.30931469183682</v>
      </c>
      <c r="R44" s="62">
        <f t="shared" si="0"/>
        <v>483.64264802517016</v>
      </c>
      <c r="S44" s="62">
        <f ca="1">AVERAGE(OFFSET($R$3,0,0,'Données projet'!$E$9+1,1))-AVERAGE(OFFSET($H$3,0,0,'Données projet'!$E$9+1,1))</f>
        <v>430.41482167204606</v>
      </c>
      <c r="T44" s="62">
        <f t="shared" si="34"/>
        <v>177.02794100524551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19.8</v>
      </c>
      <c r="AI44" s="14">
        <f>IF('Données projet'!$A$62&gt;35,AI43+AH44-AQ43,IF(A44&lt;'Données projet'!$A$62,$AF$205^A44,IF(A44='Données projet'!$A$62,'Données projet'!$B$62,AI43+AH44-AQ43)))</f>
        <v>515.80000000000007</v>
      </c>
      <c r="AJ44" s="14">
        <f>AI44*VLOOKUP('Données projet'!$B$10,Paramètres!$A$1:$I$89,3,0)*VLOOKUP('Données projet'!$B$10,Paramètres!$A$1:$I$89,5,0)</f>
        <v>288.33220000000006</v>
      </c>
      <c r="AK44" s="14">
        <f t="shared" si="35"/>
        <v>68.724825912229221</v>
      </c>
      <c r="AL44" s="22">
        <f t="shared" si="4"/>
        <v>621.874320130466</v>
      </c>
      <c r="AM44" s="62">
        <f t="shared" si="5"/>
        <v>915.20765346379926</v>
      </c>
      <c r="AN44" s="62">
        <f ca="1">AVERAGE(OFFSET($AM$3,0,0,'Données projet'!$E$10+1,1))-AVERAGE(OFFSET($H$3,0,0,'Données projet'!$E$10+1,1))</f>
        <v>507.43397352006832</v>
      </c>
      <c r="AO44" s="62">
        <f t="shared" si="36"/>
        <v>631.65579929520936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31.85634031614887</v>
      </c>
      <c r="AV44" s="23">
        <f>EXP(-LN(2)/25)*AV43+(1-EXP(-LN(2)/25))/(LN(2)/25)*Calculateur!AQ44*Calculateur!AS44*VLOOKUP('Données projet'!$B$10,Paramètres!$A$1:$I$89,3,0)*0.475*44/12</f>
        <v>45.267484209848845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77.123824525997719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</v>
      </c>
      <c r="BD44" s="13">
        <f>IF('Données projet'!$A$88&gt;35,BD43+BC44-BL43,IF(A44&lt;'Données projet'!$A$88,$BA$205^A44,IF(A44='Données projet'!$A$88,'Données projet'!$B$88,BD43+BC44-BL43)))</f>
        <v>219.80000000000007</v>
      </c>
      <c r="BE44" s="14">
        <f>BD44*VLOOKUP('Données projet'!$B$11,Paramètres!$A$1:$I$89,3,0)*VLOOKUP('Données projet'!$B$11,Paramètres!$A$1:$I$89,5,0)</f>
        <v>171.44400000000005</v>
      </c>
      <c r="BF44" s="14">
        <f t="shared" si="37"/>
        <v>43.413272173627242</v>
      </c>
      <c r="BG44" s="22">
        <f t="shared" si="7"/>
        <v>374.20974903573415</v>
      </c>
      <c r="BH44" s="62">
        <f t="shared" si="8"/>
        <v>667.54308236906741</v>
      </c>
      <c r="BI44" s="62">
        <f ca="1">AVERAGE(OFFSET($BH$3,0,0,'Données projet'!$E$11+1,1))-AVERAGE(OFFSET($H$3,0,0,'Données projet'!$E$11+1,1))</f>
        <v>357.65167206083379</v>
      </c>
      <c r="BJ44" s="62">
        <f t="shared" si="38"/>
        <v>341.23389735986342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10.281832057538269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10.281832057538269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2.3111111111111109</v>
      </c>
      <c r="N45" s="14">
        <f>IF('Données projet'!$A$36&gt;35,N44+M45-V44,IF(A45&lt;'Données projet'!$A$36,$K$205^A45,IF(A45='Données projet'!$A$36,'Données projet'!$B$36,N44+M45-V44)))</f>
        <v>97.066666666666734</v>
      </c>
      <c r="O45" s="14">
        <f>N45*VLOOKUP('Données projet'!$B$9,Paramètres!$A$1:$I$89,3,0)*VLOOKUP('Données projet'!$B$9,Paramètres!$A$1:$I$89,5,0)</f>
        <v>87.825920000000067</v>
      </c>
      <c r="P45" s="14">
        <f t="shared" si="33"/>
        <v>24.040145370675134</v>
      </c>
      <c r="Q45" s="22">
        <f t="shared" si="53"/>
        <v>194.83339718725929</v>
      </c>
      <c r="R45" s="62">
        <f t="shared" si="0"/>
        <v>488.16673052059264</v>
      </c>
      <c r="S45" s="62">
        <f ca="1">AVERAGE(OFFSET($R$3,0,0,'Données projet'!$E$9+1,1))-AVERAGE(OFFSET($H$3,0,0,'Données projet'!$E$9+1,1))</f>
        <v>430.41482167204606</v>
      </c>
      <c r="T45" s="62">
        <f t="shared" si="34"/>
        <v>177.02794100524551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19.8</v>
      </c>
      <c r="AI45" s="14">
        <f>IF('Données projet'!$A$62&gt;35,AI44+AH45-AQ44,IF(A45&lt;'Données projet'!$A$62,$AF$205^A45,IF(A45='Données projet'!$A$62,'Données projet'!$B$62,AI44+AH45-AQ44)))</f>
        <v>535.6</v>
      </c>
      <c r="AJ45" s="14">
        <f>AI45*VLOOKUP('Données projet'!$B$10,Paramètres!$A$1:$I$89,3,0)*VLOOKUP('Données projet'!$B$10,Paramètres!$A$1:$I$89,5,0)</f>
        <v>299.40039999999999</v>
      </c>
      <c r="AK45" s="14">
        <f t="shared" si="35"/>
        <v>71.050749652279976</v>
      </c>
      <c r="AL45" s="22">
        <f t="shared" si="4"/>
        <v>645.20241897772098</v>
      </c>
      <c r="AM45" s="62">
        <f t="shared" si="5"/>
        <v>938.53575231105424</v>
      </c>
      <c r="AN45" s="62">
        <f ca="1">AVERAGE(OFFSET($AM$3,0,0,'Données projet'!$E$10+1,1))-AVERAGE(OFFSET($H$3,0,0,'Données projet'!$E$10+1,1))</f>
        <v>507.43397352006832</v>
      </c>
      <c r="AO45" s="62">
        <f t="shared" si="36"/>
        <v>631.65579929520936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31.231656912998186</v>
      </c>
      <c r="AV45" s="23">
        <f>EXP(-LN(2)/25)*AV44+(1-EXP(-LN(2)/25))/(LN(2)/25)*Calculateur!AQ45*Calculateur!AS45*VLOOKUP('Données projet'!$B$10,Paramètres!$A$1:$I$89,3,0)*0.475*44/12</f>
        <v>44.029642473616995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75.261299386615178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</v>
      </c>
      <c r="BD45" s="13">
        <f>IF('Données projet'!$A$88&gt;35,BD44+BC45-BL44,IF(A45&lt;'Données projet'!$A$88,$BA$205^A45,IF(A45='Données projet'!$A$88,'Données projet'!$B$88,BD44+BC45-BL44)))</f>
        <v>230.60000000000008</v>
      </c>
      <c r="BE45" s="14">
        <f>BD45*VLOOKUP('Données projet'!$B$11,Paramètres!$A$1:$I$89,3,0)*VLOOKUP('Données projet'!$B$11,Paramètres!$A$1:$I$89,5,0)</f>
        <v>179.86800000000008</v>
      </c>
      <c r="BF45" s="14">
        <f t="shared" si="37"/>
        <v>45.292817344769716</v>
      </c>
      <c r="BG45" s="22">
        <f t="shared" si="7"/>
        <v>392.15509020880739</v>
      </c>
      <c r="BH45" s="62">
        <f t="shared" si="8"/>
        <v>685.48842354214071</v>
      </c>
      <c r="BI45" s="62">
        <f ca="1">AVERAGE(OFFSET($BH$3,0,0,'Données projet'!$E$11+1,1))-AVERAGE(OFFSET($H$3,0,0,'Données projet'!$E$11+1,1))</f>
        <v>357.65167206083379</v>
      </c>
      <c r="BJ45" s="62">
        <f t="shared" si="38"/>
        <v>341.23389735986342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10.000674819226836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10.000674819226836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2.3111111111111109</v>
      </c>
      <c r="N46" s="14">
        <f>IF('Données projet'!$A$36&gt;35,N45+M46-V45,IF(A46&lt;'Données projet'!$A$36,$K$205^A46,IF(A46='Données projet'!$A$36,'Données projet'!$B$36,N45+M46-V45)))</f>
        <v>99.377777777777851</v>
      </c>
      <c r="O46" s="14">
        <f>N46*VLOOKUP('Données projet'!$B$9,Paramètres!$A$1:$I$89,3,0)*VLOOKUP('Données projet'!$B$9,Paramètres!$A$1:$I$89,5,0)</f>
        <v>89.917013333333401</v>
      </c>
      <c r="P46" s="14">
        <f t="shared" si="33"/>
        <v>24.54520953378918</v>
      </c>
      <c r="Q46" s="22">
        <f t="shared" si="53"/>
        <v>199.35503816023848</v>
      </c>
      <c r="R46" s="62">
        <f t="shared" si="0"/>
        <v>492.68837149357182</v>
      </c>
      <c r="S46" s="62">
        <f ca="1">AVERAGE(OFFSET($R$3,0,0,'Données projet'!$E$9+1,1))-AVERAGE(OFFSET($H$3,0,0,'Données projet'!$E$9+1,1))</f>
        <v>430.41482167204606</v>
      </c>
      <c r="T46" s="62">
        <f t="shared" si="34"/>
        <v>177.02794100524551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19.8</v>
      </c>
      <c r="AI46" s="14">
        <f>IF('Données projet'!$A$62&gt;35,AI45+AH46-AQ45,IF(A46&lt;'Données projet'!$A$62,$AF$205^A46,IF(A46='Données projet'!$A$62,'Données projet'!$B$62,AI45+AH46-AQ45)))</f>
        <v>555.4</v>
      </c>
      <c r="AJ46" s="14">
        <f>AI46*VLOOKUP('Données projet'!$B$10,Paramètres!$A$1:$I$89,3,0)*VLOOKUP('Données projet'!$B$10,Paramètres!$A$1:$I$89,5,0)</f>
        <v>310.46859999999998</v>
      </c>
      <c r="AK46" s="14">
        <f t="shared" si="35"/>
        <v>73.3666838978898</v>
      </c>
      <c r="AL46" s="22">
        <f t="shared" si="4"/>
        <v>668.51311945549139</v>
      </c>
      <c r="AM46" s="62">
        <f t="shared" si="5"/>
        <v>961.84645278882476</v>
      </c>
      <c r="AN46" s="62">
        <f ca="1">AVERAGE(OFFSET($AM$3,0,0,'Données projet'!$E$10+1,1))-AVERAGE(OFFSET($H$3,0,0,'Données projet'!$E$10+1,1))</f>
        <v>507.43397352006832</v>
      </c>
      <c r="AO46" s="62">
        <f t="shared" si="36"/>
        <v>631.65579929520936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30.619223170364034</v>
      </c>
      <c r="AV46" s="23">
        <f>EXP(-LN(2)/25)*AV45+(1-EXP(-LN(2)/25))/(LN(2)/25)*Calculateur!AQ46*Calculateur!AS46*VLOOKUP('Données projet'!$B$10,Paramètres!$A$1:$I$89,3,0)*0.475*44/12</f>
        <v>42.82564958475767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73.444872755121708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</v>
      </c>
      <c r="BD46" s="13">
        <f>IF('Données projet'!$A$88&gt;35,BD45+BC46-BL45,IF(A46&lt;'Données projet'!$A$88,$BA$205^A46,IF(A46='Données projet'!$A$88,'Données projet'!$B$88,BD45+BC46-BL45)))</f>
        <v>241.40000000000009</v>
      </c>
      <c r="BE46" s="14">
        <f>BD46*VLOOKUP('Données projet'!$B$11,Paramètres!$A$1:$I$89,3,0)*VLOOKUP('Données projet'!$B$11,Paramètres!$A$1:$I$89,5,0)</f>
        <v>188.29200000000009</v>
      </c>
      <c r="BF46" s="14">
        <f t="shared" si="37"/>
        <v>47.162140074549271</v>
      </c>
      <c r="BG46" s="22">
        <f t="shared" si="7"/>
        <v>410.0826272965067</v>
      </c>
      <c r="BH46" s="62">
        <f t="shared" si="8"/>
        <v>703.41596062984001</v>
      </c>
      <c r="BI46" s="62">
        <f ca="1">AVERAGE(OFFSET($BH$3,0,0,'Données projet'!$E$11+1,1))-AVERAGE(OFFSET($H$3,0,0,'Données projet'!$E$11+1,1))</f>
        <v>357.65167206083379</v>
      </c>
      <c r="BJ46" s="62">
        <f t="shared" si="38"/>
        <v>341.23389735986342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9.727205840382446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9.727205840382446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2.3111111111111109</v>
      </c>
      <c r="N47" s="14">
        <f>IF('Données projet'!$A$36&gt;35,N46+M47-V46,IF(A47&lt;'Données projet'!$A$36,$K$205^A47,IF(A47='Données projet'!$A$36,'Données projet'!$B$36,N46+M47-V46)))</f>
        <v>101.68888888888897</v>
      </c>
      <c r="O47" s="14">
        <f>N47*VLOOKUP('Données projet'!$B$9,Paramètres!$A$1:$I$89,3,0)*VLOOKUP('Données projet'!$B$9,Paramètres!$A$1:$I$89,5,0)</f>
        <v>92.008106666666734</v>
      </c>
      <c r="P47" s="14">
        <f t="shared" si="33"/>
        <v>25.048908218689061</v>
      </c>
      <c r="Q47" s="22">
        <f t="shared" si="53"/>
        <v>203.87430092532801</v>
      </c>
      <c r="R47" s="62">
        <f t="shared" si="0"/>
        <v>497.2076342586613</v>
      </c>
      <c r="S47" s="62">
        <f ca="1">AVERAGE(OFFSET($R$3,0,0,'Données projet'!$E$9+1,1))-AVERAGE(OFFSET($H$3,0,0,'Données projet'!$E$9+1,1))</f>
        <v>430.41482167204606</v>
      </c>
      <c r="T47" s="62">
        <f t="shared" si="34"/>
        <v>177.02794100524551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19.8</v>
      </c>
      <c r="AI47" s="14">
        <f>IF('Données projet'!$A$62&gt;35,AI46+AH47-AQ46,IF(A47&lt;'Données projet'!$A$62,$AF$205^A47,IF(A47='Données projet'!$A$62,'Données projet'!$B$62,AI46+AH47-AQ46)))</f>
        <v>575.19999999999993</v>
      </c>
      <c r="AJ47" s="14">
        <f>AI47*VLOOKUP('Données projet'!$B$10,Paramètres!$A$1:$I$89,3,0)*VLOOKUP('Données projet'!$B$10,Paramètres!$A$1:$I$89,5,0)</f>
        <v>321.53679999999997</v>
      </c>
      <c r="AK47" s="14">
        <f t="shared" si="35"/>
        <v>75.673025574540318</v>
      </c>
      <c r="AL47" s="22">
        <f t="shared" si="4"/>
        <v>691.80711287565771</v>
      </c>
      <c r="AM47" s="62">
        <f t="shared" si="5"/>
        <v>985.14044620899108</v>
      </c>
      <c r="AN47" s="62">
        <f ca="1">AVERAGE(OFFSET($AM$3,0,0,'Données projet'!$E$10+1,1))-AVERAGE(OFFSET($H$3,0,0,'Données projet'!$E$10+1,1))</f>
        <v>507.43397352006832</v>
      </c>
      <c r="AO47" s="62">
        <f t="shared" si="36"/>
        <v>631.65579929520936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30.018798879875238</v>
      </c>
      <c r="AV47" s="23">
        <f>EXP(-LN(2)/25)*AV46+(1-EXP(-LN(2)/25))/(LN(2)/25)*Calculateur!AQ47*Calculateur!AS47*VLOOKUP('Données projet'!$B$10,Paramètres!$A$1:$I$89,3,0)*0.475*44/12</f>
        <v>41.65457994475944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71.673378824634682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10.8</v>
      </c>
      <c r="BD47" s="13">
        <f>IF('Données projet'!$A$88&gt;35,BD46+BC47-BL46,IF(A47&lt;'Données projet'!$A$88,$BA$205^A47,IF(A47='Données projet'!$A$88,'Données projet'!$B$88,BD46+BC47-BL46)))</f>
        <v>252.2000000000001</v>
      </c>
      <c r="BE47" s="14">
        <f>BD47*VLOOKUP('Données projet'!$B$11,Paramètres!$A$1:$I$89,3,0)*VLOOKUP('Données projet'!$B$11,Paramètres!$A$1:$I$89,5,0)</f>
        <v>196.71600000000009</v>
      </c>
      <c r="BF47" s="14">
        <f t="shared" si="37"/>
        <v>49.021749959730052</v>
      </c>
      <c r="BG47" s="22">
        <f t="shared" si="7"/>
        <v>427.99324784652998</v>
      </c>
      <c r="BH47" s="62">
        <f t="shared" si="8"/>
        <v>721.3265811798633</v>
      </c>
      <c r="BI47" s="62">
        <f ca="1">AVERAGE(OFFSET($BH$3,0,0,'Données projet'!$E$11+1,1))-AVERAGE(OFFSET($H$3,0,0,'Données projet'!$E$11+1,1))</f>
        <v>357.65167206083379</v>
      </c>
      <c r="BJ47" s="62">
        <f t="shared" si="38"/>
        <v>341.23389735986342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9.4612148851456652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9.4612148851456652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104</v>
      </c>
      <c r="L48" s="13">
        <f>VLOOKUP(A48,'Données projet'!$A$35:$I$55,9,0)</f>
        <v>2.3111111111111109</v>
      </c>
      <c r="M48" s="13">
        <f t="array" ref="M48">INDEX(L:L,MIN(IF(ISNUMBER(L48:L244),ROW(L48:L244),"")))</f>
        <v>2.3111111111111109</v>
      </c>
      <c r="N48" s="14">
        <f>IF('Données projet'!$A$36&gt;35,N47+M48-V47,IF(A48&lt;'Données projet'!$A$36,$K$205^A48,IF(A48='Données projet'!$A$36,'Données projet'!$B$36,N47+M48-V47)))</f>
        <v>104.00000000000009</v>
      </c>
      <c r="O48" s="14">
        <f>N48*VLOOKUP('Données projet'!$B$9,Paramètres!$A$1:$I$89,3,0)*VLOOKUP('Données projet'!$B$9,Paramètres!$A$1:$I$89,5,0)</f>
        <v>94.099200000000067</v>
      </c>
      <c r="P48" s="14">
        <f t="shared" si="33"/>
        <v>25.551276031514842</v>
      </c>
      <c r="Q48" s="22">
        <f t="shared" si="53"/>
        <v>208.39124575488847</v>
      </c>
      <c r="R48" s="62">
        <f t="shared" si="0"/>
        <v>501.72457908822179</v>
      </c>
      <c r="S48" s="62">
        <f ca="1">AVERAGE(OFFSET($R$3,0,0,'Données projet'!$E$9+1,1))-AVERAGE(OFFSET($H$3,0,0,'Données projet'!$E$9+1,1))</f>
        <v>430.41482167204606</v>
      </c>
      <c r="T48" s="62">
        <f t="shared" si="34"/>
        <v>177.02794100524551</v>
      </c>
      <c r="U48" s="16">
        <f>IF(ISNA(VLOOKUP(A48,'Données projet'!$A$35:$I$55,3,0)),0,VLOOKUP(A48,'Données projet'!$A$35:$I$55,3,0))</f>
        <v>1</v>
      </c>
      <c r="V48" s="16">
        <f>IF(ISNA(VLOOKUP(A48,'Données projet'!$A$35:$I$55,4,0)),0,VLOOKUP(A48,'Données projet'!$A$35:$I$55,4,0))</f>
        <v>40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595</v>
      </c>
      <c r="AG48" s="13">
        <f>VLOOKUP(A48,'Données projet'!$A$61:$I$81,9,0)</f>
        <v>19.8</v>
      </c>
      <c r="AH48" s="13">
        <f t="array" ref="AH48">INDEX(AG:AG,MIN(IF(ISNUMBER(AG48:AG244),ROW(AG48:AG244),"")))</f>
        <v>19.8</v>
      </c>
      <c r="AI48" s="14">
        <f>IF('Données projet'!$A$62&gt;35,AI47+AH48-AQ47,IF(A48&lt;'Données projet'!$A$62,$AF$205^A48,IF(A48='Données projet'!$A$62,'Données projet'!$B$62,AI47+AH48-AQ47)))</f>
        <v>594.99999999999989</v>
      </c>
      <c r="AJ48" s="14">
        <f>AI48*VLOOKUP('Données projet'!$B$10,Paramètres!$A$1:$I$89,3,0)*VLOOKUP('Données projet'!$B$10,Paramètres!$A$1:$I$89,5,0)</f>
        <v>332.6049999999999</v>
      </c>
      <c r="AK48" s="14">
        <f t="shared" si="35"/>
        <v>77.970142731220378</v>
      </c>
      <c r="AL48" s="22">
        <f t="shared" si="4"/>
        <v>715.08504025687535</v>
      </c>
      <c r="AM48" s="62">
        <f t="shared" si="5"/>
        <v>1008.4183735902086</v>
      </c>
      <c r="AN48" s="62">
        <f ca="1">AVERAGE(OFFSET($AM$3,0,0,'Données projet'!$E$10+1,1))-AVERAGE(OFFSET($H$3,0,0,'Données projet'!$E$10+1,1))</f>
        <v>507.43397352006832</v>
      </c>
      <c r="AO48" s="62">
        <f t="shared" si="36"/>
        <v>631.65579929520936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83</v>
      </c>
      <c r="AR48" s="17">
        <f>IF(ISNA(VLOOKUP(A48,'Données projet'!$A$61:$I$81,5,0)),0%,VLOOKUP(A48,'Données projet'!$A$61:$I$81,5,0)*VLOOKUP('Données projet'!$B$10,Paramètres!$A$1:$I$89,7,0))</f>
        <v>0.22000000000000003</v>
      </c>
      <c r="AS48" s="17">
        <f>IF(ISNA(VLOOKUP(A48,'Données projet'!$A$61:$I$81,6,0)),0%,VLOOKUP(A48,'Données projet'!$A$61:$I$81,6,0)*VLOOKUP('Données projet'!$B$10,Paramètres!$A$1:$I$89,7,0))</f>
        <v>0.27500000000000002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42.970842972086515</v>
      </c>
      <c r="AV48" s="23">
        <f>EXP(-LN(2)/25)*AV47+(1-EXP(-LN(2)/25))/(LN(2)/25)*Calculateur!AQ48*Calculateur!AS48*VLOOKUP('Données projet'!$B$10,Paramètres!$A$1:$I$89,3,0)*0.475*44/12</f>
        <v>57.374757709665616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100.34560068175213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263</v>
      </c>
      <c r="BB48" s="13">
        <f>VLOOKUP(A48,'Données projet'!$A$87:$I$107,9,0)</f>
        <v>10.8</v>
      </c>
      <c r="BC48" s="13">
        <f t="array" ref="BC48">INDEX(BB:BB,MIN(IF(ISNUMBER(BB48:BB244),ROW(BB48:BB244),"")))</f>
        <v>10.8</v>
      </c>
      <c r="BD48" s="13">
        <f>IF('Données projet'!$A$88&gt;35,BD47+BC48-BL47,IF(A48&lt;'Données projet'!$A$88,$BA$205^A48,IF(A48='Données projet'!$A$88,'Données projet'!$B$88,BD47+BC48-BL47)))</f>
        <v>263.00000000000011</v>
      </c>
      <c r="BE48" s="14">
        <f>BD48*VLOOKUP('Données projet'!$B$11,Paramètres!$A$1:$I$89,3,0)*VLOOKUP('Données projet'!$B$11,Paramètres!$A$1:$I$89,5,0)</f>
        <v>205.1400000000001</v>
      </c>
      <c r="BF48" s="14">
        <f t="shared" si="37"/>
        <v>50.872110483472362</v>
      </c>
      <c r="BG48" s="22">
        <f t="shared" si="7"/>
        <v>445.88775909204782</v>
      </c>
      <c r="BH48" s="62">
        <f t="shared" si="8"/>
        <v>739.22109242538113</v>
      </c>
      <c r="BI48" s="62">
        <f ca="1">AVERAGE(OFFSET($BH$3,0,0,'Données projet'!$E$11+1,1))-AVERAGE(OFFSET($H$3,0,0,'Données projet'!$E$11+1,1))</f>
        <v>357.65167206083379</v>
      </c>
      <c r="BJ48" s="62">
        <f t="shared" si="38"/>
        <v>341.23389735986342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0.17200000000000001</v>
      </c>
      <c r="BN48" s="17">
        <f>IF(ISNA(VLOOKUP(A48,'Données projet'!$A$87:$I$107,6,0)),0%,VLOOKUP(A48,'Données projet'!$A$87:$I$107,6,0)*VLOOKUP('Données projet'!$B$11,Paramètres!$A$1:$I$89,7,0))</f>
        <v>0.215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5.3391566202530614</v>
      </c>
      <c r="BQ48" s="23">
        <f>EXP(-LN(2)/25)*BQ47+(1-EXP(-LN(2)/25))/(LN(2)/25)*Calculateur!BL48*Calculateur!BN48*VLOOKUP('Données projet'!$B$11,Paramètres!$A$1:$I$89,3,0)*0.475*44/12</f>
        <v>15.850165374393891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21.189321994646953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8.375</v>
      </c>
      <c r="N49" s="14">
        <f>IF('Données projet'!$A$36&gt;35,N48+M49-V48,IF(A49&lt;'Données projet'!$A$36,$K$205^A49,IF(A49='Données projet'!$A$36,'Données projet'!$B$36,N48+M49-V48)))</f>
        <v>72.375000000000085</v>
      </c>
      <c r="O49" s="14">
        <f>N49*VLOOKUP('Données projet'!$B$9,Paramètres!$A$1:$I$89,3,0)*VLOOKUP('Données projet'!$B$9,Paramètres!$A$1:$I$89,5,0)</f>
        <v>65.484900000000081</v>
      </c>
      <c r="P49" s="14">
        <f t="shared" si="33"/>
        <v>18.547885297154718</v>
      </c>
      <c r="Q49" s="22">
        <f t="shared" si="53"/>
        <v>146.35710105921126</v>
      </c>
      <c r="R49" s="62">
        <f t="shared" si="0"/>
        <v>439.6904343925446</v>
      </c>
      <c r="S49" s="62">
        <f ca="1">AVERAGE(OFFSET($R$3,0,0,'Données projet'!$E$9+1,1))-AVERAGE(OFFSET($H$3,0,0,'Données projet'!$E$9+1,1))</f>
        <v>430.41482167204606</v>
      </c>
      <c r="T49" s="62">
        <f t="shared" si="34"/>
        <v>177.02794100524551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20.8</v>
      </c>
      <c r="AI49" s="14">
        <f>IF('Données projet'!$A$62&gt;35,AI48+AH49-AQ48,IF(A49&lt;'Données projet'!$A$62,$AF$205^A49,IF(A49='Données projet'!$A$62,'Données projet'!$B$62,AI48+AH49-AQ48)))</f>
        <v>532.79999999999984</v>
      </c>
      <c r="AJ49" s="14">
        <f>AI49*VLOOKUP('Données projet'!$B$10,Paramètres!$A$1:$I$89,3,0)*VLOOKUP('Données projet'!$B$10,Paramètres!$A$1:$I$89,5,0)</f>
        <v>297.83519999999993</v>
      </c>
      <c r="AK49" s="14">
        <f t="shared" si="35"/>
        <v>70.722447137509803</v>
      </c>
      <c r="AL49" s="22">
        <f t="shared" si="4"/>
        <v>641.90456876449605</v>
      </c>
      <c r="AM49" s="62">
        <f t="shared" si="5"/>
        <v>935.23790209782942</v>
      </c>
      <c r="AN49" s="62">
        <f ca="1">AVERAGE(OFFSET($AM$3,0,0,'Données projet'!$E$10+1,1))-AVERAGE(OFFSET($H$3,0,0,'Données projet'!$E$10+1,1))</f>
        <v>507.43397352006832</v>
      </c>
      <c r="AO49" s="62">
        <f t="shared" si="36"/>
        <v>631.65579929520936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42.128210951030127</v>
      </c>
      <c r="AV49" s="23">
        <f>EXP(-LN(2)/25)*AV48+(1-EXP(-LN(2)/25))/(LN(2)/25)*Calculateur!AQ49*Calculateur!AS49*VLOOKUP('Données projet'!$B$10,Paramètres!$A$1:$I$89,3,0)*0.475*44/12</f>
        <v>55.805841942887433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97.934052893917567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11.2</v>
      </c>
      <c r="BD49" s="13">
        <f>IF('Données projet'!$A$88&gt;35,BD48+BC49-BL48,IF(A49&lt;'Données projet'!$A$88,$BA$205^A49,IF(A49='Données projet'!$A$88,'Données projet'!$B$88,BD48+BC49-BL48)))</f>
        <v>238.2000000000001</v>
      </c>
      <c r="BE49" s="14">
        <f>BD49*VLOOKUP('Données projet'!$B$11,Paramètres!$A$1:$I$89,3,0)*VLOOKUP('Données projet'!$B$11,Paramètres!$A$1:$I$89,5,0)</f>
        <v>185.79600000000008</v>
      </c>
      <c r="BF49" s="14">
        <f t="shared" si="37"/>
        <v>46.60930127448345</v>
      </c>
      <c r="BG49" s="22">
        <f t="shared" si="7"/>
        <v>404.7725663863921</v>
      </c>
      <c r="BH49" s="62">
        <f t="shared" si="8"/>
        <v>698.10589971972536</v>
      </c>
      <c r="BI49" s="62">
        <f ca="1">AVERAGE(OFFSET($BH$3,0,0,'Données projet'!$E$11+1,1))-AVERAGE(OFFSET($H$3,0,0,'Données projet'!$E$11+1,1))</f>
        <v>357.65167206083379</v>
      </c>
      <c r="BJ49" s="62">
        <f t="shared" si="38"/>
        <v>341.23389735986342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5.2344590154938784</v>
      </c>
      <c r="BQ49" s="23">
        <f>EXP(-LN(2)/25)*BQ48+(1-EXP(-LN(2)/25))/(LN(2)/25)*Calculateur!BL49*Calculateur!BN49*VLOOKUP('Données projet'!$B$11,Paramètres!$A$1:$I$89,3,0)*0.475*44/12</f>
        <v>15.416741768707119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20.651200784200999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8.375</v>
      </c>
      <c r="N50" s="14">
        <f>IF('Données projet'!$A$36&gt;35,N49+M50-V49,IF(A50&lt;'Données projet'!$A$36,$K$205^A50,IF(A50='Données projet'!$A$36,'Données projet'!$B$36,N49+M50-V49)))</f>
        <v>80.750000000000085</v>
      </c>
      <c r="O50" s="14">
        <f>N50*VLOOKUP('Données projet'!$B$9,Paramètres!$A$1:$I$89,3,0)*VLOOKUP('Données projet'!$B$9,Paramètres!$A$1:$I$89,5,0)</f>
        <v>73.062600000000074</v>
      </c>
      <c r="P50" s="14">
        <f t="shared" si="33"/>
        <v>20.432103293627691</v>
      </c>
      <c r="Q50" s="22">
        <f t="shared" si="53"/>
        <v>162.83660823640167</v>
      </c>
      <c r="R50" s="62">
        <f t="shared" si="0"/>
        <v>456.16994156973499</v>
      </c>
      <c r="S50" s="62">
        <f ca="1">AVERAGE(OFFSET($R$3,0,0,'Données projet'!$E$9+1,1))-AVERAGE(OFFSET($H$3,0,0,'Données projet'!$E$9+1,1))</f>
        <v>430.41482167204606</v>
      </c>
      <c r="T50" s="62">
        <f t="shared" si="34"/>
        <v>177.02794100524551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20.8</v>
      </c>
      <c r="AI50" s="14">
        <f>IF('Données projet'!$A$62&gt;35,AI49+AH50-AQ49,IF(A50&lt;'Données projet'!$A$62,$AF$205^A50,IF(A50='Données projet'!$A$62,'Données projet'!$B$62,AI49+AH50-AQ49)))</f>
        <v>553.5999999999998</v>
      </c>
      <c r="AJ50" s="14">
        <f>AI50*VLOOKUP('Données projet'!$B$10,Paramètres!$A$1:$I$89,3,0)*VLOOKUP('Données projet'!$B$10,Paramètres!$A$1:$I$89,5,0)</f>
        <v>309.46239999999989</v>
      </c>
      <c r="AK50" s="14">
        <f t="shared" si="35"/>
        <v>73.156546555743759</v>
      </c>
      <c r="AL50" s="22">
        <f t="shared" si="4"/>
        <v>666.39466525125351</v>
      </c>
      <c r="AM50" s="62">
        <f t="shared" si="5"/>
        <v>959.72799858458689</v>
      </c>
      <c r="AN50" s="62">
        <f ca="1">AVERAGE(OFFSET($AM$3,0,0,'Données projet'!$E$10+1,1))-AVERAGE(OFFSET($H$3,0,0,'Données projet'!$E$10+1,1))</f>
        <v>507.43397352006832</v>
      </c>
      <c r="AO50" s="62">
        <f t="shared" si="36"/>
        <v>631.65579929520936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41.302102429951873</v>
      </c>
      <c r="AV50" s="23">
        <f>EXP(-LN(2)/25)*AV49+(1-EXP(-LN(2)/25))/(LN(2)/25)*Calculateur!AQ50*Calculateur!AS50*VLOOKUP('Données projet'!$B$10,Paramètres!$A$1:$I$89,3,0)*0.475*44/12</f>
        <v>54.279828260257496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95.581930690209362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11.2</v>
      </c>
      <c r="BD50" s="13">
        <f>IF('Données projet'!$A$88&gt;35,BD49+BC50-BL49,IF(A50&lt;'Données projet'!$A$88,$BA$205^A50,IF(A50='Données projet'!$A$88,'Données projet'!$B$88,BD49+BC50-BL49)))</f>
        <v>249.40000000000009</v>
      </c>
      <c r="BE50" s="14">
        <f>BD50*VLOOKUP('Données projet'!$B$11,Paramètres!$A$1:$I$89,3,0)*VLOOKUP('Données projet'!$B$11,Paramètres!$A$1:$I$89,5,0)</f>
        <v>194.53200000000007</v>
      </c>
      <c r="BF50" s="14">
        <f t="shared" si="37"/>
        <v>48.540534952652621</v>
      </c>
      <c r="BG50" s="22">
        <f t="shared" si="7"/>
        <v>423.35133170920341</v>
      </c>
      <c r="BH50" s="62">
        <f t="shared" si="8"/>
        <v>716.68466504253672</v>
      </c>
      <c r="BI50" s="62">
        <f ca="1">AVERAGE(OFFSET($BH$3,0,0,'Données projet'!$E$11+1,1))-AVERAGE(OFFSET($H$3,0,0,'Données projet'!$E$11+1,1))</f>
        <v>357.65167206083379</v>
      </c>
      <c r="BJ50" s="62">
        <f t="shared" si="38"/>
        <v>341.23389735986342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5.1318144669047898</v>
      </c>
      <c r="BQ50" s="23">
        <f>EXP(-LN(2)/25)*BQ49+(1-EXP(-LN(2)/25))/(LN(2)/25)*Calculateur!BL50*Calculateur!BN50*VLOOKUP('Données projet'!$B$11,Paramètres!$A$1:$I$89,3,0)*0.475*44/12</f>
        <v>14.995170154310609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20.126984621215399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8.375</v>
      </c>
      <c r="N51" s="14">
        <f>IF('Données projet'!$A$36&gt;35,N50+M51-V50,IF(A51&lt;'Données projet'!$A$36,$K$205^A51,IF(A51='Données projet'!$A$36,'Données projet'!$B$36,N50+M51-V50)))</f>
        <v>89.125000000000085</v>
      </c>
      <c r="O51" s="14">
        <f>N51*VLOOKUP('Données projet'!$B$9,Paramètres!$A$1:$I$89,3,0)*VLOOKUP('Données projet'!$B$9,Paramètres!$A$1:$I$89,5,0)</f>
        <v>80.640300000000067</v>
      </c>
      <c r="P51" s="14">
        <f t="shared" si="33"/>
        <v>22.293668096726446</v>
      </c>
      <c r="Q51" s="22">
        <f t="shared" si="53"/>
        <v>179.27666110179868</v>
      </c>
      <c r="R51" s="62">
        <f t="shared" si="0"/>
        <v>472.60999443513197</v>
      </c>
      <c r="S51" s="62">
        <f ca="1">AVERAGE(OFFSET($R$3,0,0,'Données projet'!$E$9+1,1))-AVERAGE(OFFSET($H$3,0,0,'Données projet'!$E$9+1,1))</f>
        <v>430.41482167204606</v>
      </c>
      <c r="T51" s="62">
        <f t="shared" si="34"/>
        <v>177.02794100524551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20.8</v>
      </c>
      <c r="AI51" s="14">
        <f>IF('Données projet'!$A$62&gt;35,AI50+AH51-AQ50,IF(A51&lt;'Données projet'!$A$62,$AF$205^A51,IF(A51='Données projet'!$A$62,'Données projet'!$B$62,AI50+AH51-AQ50)))</f>
        <v>574.39999999999975</v>
      </c>
      <c r="AJ51" s="14">
        <f>AI51*VLOOKUP('Données projet'!$B$10,Paramètres!$A$1:$I$89,3,0)*VLOOKUP('Données projet'!$B$10,Paramètres!$A$1:$I$89,5,0)</f>
        <v>321.08959999999985</v>
      </c>
      <c r="AK51" s="14">
        <f t="shared" si="35"/>
        <v>75.580021262142978</v>
      </c>
      <c r="AL51" s="22">
        <f t="shared" si="4"/>
        <v>690.8662570315654</v>
      </c>
      <c r="AM51" s="62">
        <f t="shared" si="5"/>
        <v>984.19959036489877</v>
      </c>
      <c r="AN51" s="62">
        <f ca="1">AVERAGE(OFFSET($AM$3,0,0,'Données projet'!$E$10+1,1))-AVERAGE(OFFSET($H$3,0,0,'Données projet'!$E$10+1,1))</f>
        <v>507.43397352006832</v>
      </c>
      <c r="AO51" s="62">
        <f t="shared" si="36"/>
        <v>631.65579929520936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40.492193393095519</v>
      </c>
      <c r="AV51" s="23">
        <f>EXP(-LN(2)/25)*AV50+(1-EXP(-LN(2)/25))/(LN(2)/25)*Calculateur!AQ51*Calculateur!AS51*VLOOKUP('Données projet'!$B$10,Paramètres!$A$1:$I$89,3,0)*0.475*44/12</f>
        <v>52.795543502028643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93.287736895124169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11.2</v>
      </c>
      <c r="BD51" s="13">
        <f>IF('Données projet'!$A$88&gt;35,BD50+BC51-BL50,IF(A51&lt;'Données projet'!$A$88,$BA$205^A51,IF(A51='Données projet'!$A$88,'Données projet'!$B$88,BD50+BC51-BL50)))</f>
        <v>260.60000000000008</v>
      </c>
      <c r="BE51" s="14">
        <f>BD51*VLOOKUP('Données projet'!$B$11,Paramètres!$A$1:$I$89,3,0)*VLOOKUP('Données projet'!$B$11,Paramètres!$A$1:$I$89,5,0)</f>
        <v>203.26800000000006</v>
      </c>
      <c r="BF51" s="14">
        <f t="shared" si="37"/>
        <v>50.461696323746594</v>
      </c>
      <c r="BG51" s="22">
        <f t="shared" si="7"/>
        <v>441.9125544305254</v>
      </c>
      <c r="BH51" s="62">
        <f t="shared" si="8"/>
        <v>735.24588776385872</v>
      </c>
      <c r="BI51" s="62">
        <f ca="1">AVERAGE(OFFSET($BH$3,0,0,'Données projet'!$E$11+1,1))-AVERAGE(OFFSET($H$3,0,0,'Données projet'!$E$11+1,1))</f>
        <v>357.65167206083379</v>
      </c>
      <c r="BJ51" s="62">
        <f t="shared" si="38"/>
        <v>341.23389735986342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5.0311827153065405</v>
      </c>
      <c r="BQ51" s="23">
        <f>EXP(-LN(2)/25)*BQ50+(1-EXP(-LN(2)/25))/(LN(2)/25)*Calculateur!BL51*Calculateur!BN51*VLOOKUP('Données projet'!$B$11,Paramètres!$A$1:$I$89,3,0)*0.475*44/12</f>
        <v>14.585126437879259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19.616309153185799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8.375</v>
      </c>
      <c r="N52" s="14">
        <f>IF('Données projet'!$A$36&gt;35,N51+M52-V51,IF(A52&lt;'Données projet'!$A$36,$K$205^A52,IF(A52='Données projet'!$A$36,'Données projet'!$B$36,N51+M52-V51)))</f>
        <v>97.500000000000085</v>
      </c>
      <c r="O52" s="14">
        <f>N52*VLOOKUP('Données projet'!$B$9,Paramètres!$A$1:$I$89,3,0)*VLOOKUP('Données projet'!$B$9,Paramètres!$A$1:$I$89,5,0)</f>
        <v>88.218000000000075</v>
      </c>
      <c r="P52" s="14">
        <f t="shared" si="33"/>
        <v>24.134950560421608</v>
      </c>
      <c r="Q52" s="22">
        <f t="shared" si="53"/>
        <v>195.68138889273439</v>
      </c>
      <c r="R52" s="62">
        <f t="shared" si="0"/>
        <v>489.0147222260677</v>
      </c>
      <c r="S52" s="62">
        <f ca="1">AVERAGE(OFFSET($R$3,0,0,'Données projet'!$E$9+1,1))-AVERAGE(OFFSET($H$3,0,0,'Données projet'!$E$9+1,1))</f>
        <v>430.41482167204606</v>
      </c>
      <c r="T52" s="62">
        <f t="shared" si="34"/>
        <v>177.02794100524551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20.8</v>
      </c>
      <c r="AI52" s="14">
        <f>IF('Données projet'!$A$62&gt;35,AI51+AH52-AQ51,IF(A52&lt;'Données projet'!$A$62,$AF$205^A52,IF(A52='Données projet'!$A$62,'Données projet'!$B$62,AI51+AH52-AQ51)))</f>
        <v>595.1999999999997</v>
      </c>
      <c r="AJ52" s="14">
        <f>AI52*VLOOKUP('Données projet'!$B$10,Paramètres!$A$1:$I$89,3,0)*VLOOKUP('Données projet'!$B$10,Paramètres!$A$1:$I$89,5,0)</f>
        <v>332.71679999999981</v>
      </c>
      <c r="AK52" s="14">
        <f t="shared" si="35"/>
        <v>77.993300065843115</v>
      </c>
      <c r="AL52" s="22">
        <f t="shared" si="4"/>
        <v>715.32009094800981</v>
      </c>
      <c r="AM52" s="62">
        <f t="shared" si="5"/>
        <v>1008.6534242813432</v>
      </c>
      <c r="AN52" s="62">
        <f ca="1">AVERAGE(OFFSET($AM$3,0,0,'Données projet'!$E$10+1,1))-AVERAGE(OFFSET($H$3,0,0,'Données projet'!$E$10+1,1))</f>
        <v>507.43397352006832</v>
      </c>
      <c r="AO52" s="62">
        <f t="shared" si="36"/>
        <v>631.65579929520936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39.698166178456184</v>
      </c>
      <c r="AV52" s="23">
        <f>EXP(-LN(2)/25)*AV51+(1-EXP(-LN(2)/25))/(LN(2)/25)*Calculateur!AQ52*Calculateur!AS52*VLOOKUP('Données projet'!$B$10,Paramètres!$A$1:$I$89,3,0)*0.475*44/12</f>
        <v>51.351846588568705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91.050012767024896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11.2</v>
      </c>
      <c r="BD52" s="13">
        <f>IF('Données projet'!$A$88&gt;35,BD51+BC52-BL51,IF(A52&lt;'Données projet'!$A$88,$BA$205^A52,IF(A52='Données projet'!$A$88,'Données projet'!$B$88,BD51+BC52-BL51)))</f>
        <v>271.80000000000007</v>
      </c>
      <c r="BE52" s="14">
        <f>BD52*VLOOKUP('Données projet'!$B$11,Paramètres!$A$1:$I$89,3,0)*VLOOKUP('Données projet'!$B$11,Paramètres!$A$1:$I$89,5,0)</f>
        <v>212.00400000000005</v>
      </c>
      <c r="BF52" s="14">
        <f t="shared" si="37"/>
        <v>52.373267756879777</v>
      </c>
      <c r="BG52" s="22">
        <f t="shared" si="7"/>
        <v>460.45707467656558</v>
      </c>
      <c r="BH52" s="62">
        <f t="shared" si="8"/>
        <v>753.7904080098989</v>
      </c>
      <c r="BI52" s="62">
        <f ca="1">AVERAGE(OFFSET($BH$3,0,0,'Données projet'!$E$11+1,1))-AVERAGE(OFFSET($H$3,0,0,'Données projet'!$E$11+1,1))</f>
        <v>357.65167206083379</v>
      </c>
      <c r="BJ52" s="62">
        <f t="shared" si="38"/>
        <v>341.23389735986342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4.9325242909778249</v>
      </c>
      <c r="BQ52" s="23">
        <f>EXP(-LN(2)/25)*BQ51+(1-EXP(-LN(2)/25))/(LN(2)/25)*Calculateur!BL52*Calculateur!BN52*VLOOKUP('Données projet'!$B$11,Paramètres!$A$1:$I$89,3,0)*0.475*44/12</f>
        <v>14.186295388436985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19.118819679414809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8.375</v>
      </c>
      <c r="N53" s="14">
        <f>IF('Données projet'!$A$36&gt;35,N52+M53-V52,IF(A53&lt;'Données projet'!$A$36,$K$205^A53,IF(A53='Données projet'!$A$36,'Données projet'!$B$36,N52+M53-V52)))</f>
        <v>105.87500000000009</v>
      </c>
      <c r="O53" s="14">
        <f>N53*VLOOKUP('Données projet'!$B$9,Paramètres!$A$1:$I$89,3,0)*VLOOKUP('Données projet'!$B$9,Paramètres!$A$1:$I$89,5,0)</f>
        <v>95.795700000000082</v>
      </c>
      <c r="P53" s="14">
        <f t="shared" si="33"/>
        <v>25.957890970062589</v>
      </c>
      <c r="Q53" s="22">
        <f t="shared" si="53"/>
        <v>212.05417093952585</v>
      </c>
      <c r="R53" s="62">
        <f t="shared" si="0"/>
        <v>505.38750427285913</v>
      </c>
      <c r="S53" s="62">
        <f ca="1">AVERAGE(OFFSET($R$3,0,0,'Données projet'!$E$9+1,1))-AVERAGE(OFFSET($H$3,0,0,'Données projet'!$E$9+1,1))</f>
        <v>430.41482167204606</v>
      </c>
      <c r="T53" s="62">
        <f t="shared" si="34"/>
        <v>177.02794100524551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616</v>
      </c>
      <c r="AG53" s="13">
        <f>VLOOKUP(A53,'Données projet'!$A$61:$I$81,9,0)</f>
        <v>20.8</v>
      </c>
      <c r="AH53" s="13">
        <f t="array" ref="AH53">INDEX(AG:AG,MIN(IF(ISNUMBER(AG53:AG249),ROW(AG53:AG249),"")))</f>
        <v>20.8</v>
      </c>
      <c r="AI53" s="14">
        <f>IF('Données projet'!$A$62&gt;35,AI52+AH53-AQ52,IF(A53&lt;'Données projet'!$A$62,$AF$205^A53,IF(A53='Données projet'!$A$62,'Données projet'!$B$62,AI52+AH53-AQ52)))</f>
        <v>615.99999999999966</v>
      </c>
      <c r="AJ53" s="14">
        <f>AI53*VLOOKUP('Données projet'!$B$10,Paramètres!$A$1:$I$89,3,0)*VLOOKUP('Données projet'!$B$10,Paramètres!$A$1:$I$89,5,0)</f>
        <v>344.34399999999977</v>
      </c>
      <c r="AK53" s="14">
        <f t="shared" si="35"/>
        <v>80.396780105945481</v>
      </c>
      <c r="AL53" s="22">
        <f t="shared" si="4"/>
        <v>739.75685868452126</v>
      </c>
      <c r="AM53" s="62">
        <f t="shared" si="5"/>
        <v>1033.0901920178546</v>
      </c>
      <c r="AN53" s="62">
        <f ca="1">AVERAGE(OFFSET($AM$3,0,0,'Données projet'!$E$10+1,1))-AVERAGE(OFFSET($H$3,0,0,'Données projet'!$E$10+1,1))</f>
        <v>507.43397352006832</v>
      </c>
      <c r="AO53" s="62">
        <f t="shared" si="36"/>
        <v>631.65579929520936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75</v>
      </c>
      <c r="AR53" s="17">
        <f>IF(ISNA(VLOOKUP(A53,'Données projet'!$A$61:$I$81,5,0)),0%,VLOOKUP(A53,'Données projet'!$A$61:$I$81,5,0)*VLOOKUP('Données projet'!$B$10,Paramètres!$A$1:$I$89,7,0))</f>
        <v>0.22000000000000003</v>
      </c>
      <c r="AS53" s="17">
        <f>IF(ISNA(VLOOKUP(A53,'Données projet'!$A$61:$I$81,6,0)),0%,VLOOKUP(A53,'Données projet'!$A$61:$I$81,6,0)*VLOOKUP('Données projet'!$B$10,Paramètres!$A$1:$I$89,7,0))</f>
        <v>0.27500000000000002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51.155276607933743</v>
      </c>
      <c r="AV53" s="23">
        <f>EXP(-LN(2)/25)*AV52+(1-EXP(-LN(2)/25))/(LN(2)/25)*Calculateur!AQ53*Calculateur!AS53*VLOOKUP('Données projet'!$B$10,Paramètres!$A$1:$I$89,3,0)*0.475*44/12</f>
        <v>65.18186659856309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116.33714320649683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283</v>
      </c>
      <c r="BB53" s="13">
        <f>VLOOKUP(A53,'Données projet'!$A$87:$I$107,9,0)</f>
        <v>11.2</v>
      </c>
      <c r="BC53" s="13">
        <f t="array" ref="BC53">INDEX(BB:BB,MIN(IF(ISNUMBER(BB53:BB249),ROW(BB53:BB249),"")))</f>
        <v>11.2</v>
      </c>
      <c r="BD53" s="13">
        <f>IF('Données projet'!$A$88&gt;35,BD52+BC53-BL52,IF(A53&lt;'Données projet'!$A$88,$BA$205^A53,IF(A53='Données projet'!$A$88,'Données projet'!$B$88,BD52+BC53-BL52)))</f>
        <v>283.00000000000006</v>
      </c>
      <c r="BE53" s="14">
        <f>BD53*VLOOKUP('Données projet'!$B$11,Paramètres!$A$1:$I$89,3,0)*VLOOKUP('Données projet'!$B$11,Paramètres!$A$1:$I$89,5,0)</f>
        <v>220.74000000000007</v>
      </c>
      <c r="BF53" s="14">
        <f t="shared" si="37"/>
        <v>54.275689618029304</v>
      </c>
      <c r="BG53" s="22">
        <f t="shared" si="7"/>
        <v>478.98565941806777</v>
      </c>
      <c r="BH53" s="62">
        <f t="shared" si="8"/>
        <v>772.31899275140108</v>
      </c>
      <c r="BI53" s="62">
        <f ca="1">AVERAGE(OFFSET($BH$3,0,0,'Données projet'!$E$11+1,1))-AVERAGE(OFFSET($H$3,0,0,'Données projet'!$E$11+1,1))</f>
        <v>357.65167206083379</v>
      </c>
      <c r="BJ53" s="62">
        <f t="shared" si="38"/>
        <v>341.23389735986342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35</v>
      </c>
      <c r="BM53" s="17">
        <f>IF(ISNA(VLOOKUP(A53,'Données projet'!$A$87:$I$107,5,0)),0%,VLOOKUP(A53,'Données projet'!$A$87:$I$107,5,0)*VLOOKUP('Données projet'!$B$11,Paramètres!$A$1:$I$89,7,0))</f>
        <v>0.17200000000000001</v>
      </c>
      <c r="BN53" s="17">
        <f>IF(ISNA(VLOOKUP(A53,'Données projet'!$A$87:$I$107,6,0)),0%,VLOOKUP(A53,'Données projet'!$A$87:$I$107,6,0)*VLOOKUP('Données projet'!$B$11,Paramètres!$A$1:$I$89,7,0))</f>
        <v>0.215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10.02664721230942</v>
      </c>
      <c r="BQ53" s="23">
        <f>EXP(-LN(2)/25)*BQ52+(1-EXP(-LN(2)/25))/(LN(2)/25)*Calculateur!BL53*Calculateur!BN53*VLOOKUP('Données projet'!$B$11,Paramètres!$A$1:$I$89,3,0)*0.475*44/12</f>
        <v>20.261380860957463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30.288028073266883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8.375</v>
      </c>
      <c r="N54" s="14">
        <f>IF('Données projet'!$A$36&gt;35,N53+M54-V53,IF(A54&lt;'Données projet'!$A$36,$K$205^A54,IF(A54='Données projet'!$A$36,'Données projet'!$B$36,N53+M54-V53)))</f>
        <v>114.25000000000009</v>
      </c>
      <c r="O54" s="14">
        <f>N54*VLOOKUP('Données projet'!$B$9,Paramètres!$A$1:$I$89,3,0)*VLOOKUP('Données projet'!$B$9,Paramètres!$A$1:$I$89,5,0)</f>
        <v>103.37340000000007</v>
      </c>
      <c r="P54" s="14">
        <f t="shared" si="33"/>
        <v>27.76410518904413</v>
      </c>
      <c r="Q54" s="22">
        <f t="shared" si="53"/>
        <v>228.39782153758529</v>
      </c>
      <c r="R54" s="62">
        <f t="shared" si="0"/>
        <v>521.73115487091854</v>
      </c>
      <c r="S54" s="62">
        <f ca="1">AVERAGE(OFFSET($R$3,0,0,'Données projet'!$E$9+1,1))-AVERAGE(OFFSET($H$3,0,0,'Données projet'!$E$9+1,1))</f>
        <v>430.41482167204606</v>
      </c>
      <c r="T54" s="62">
        <f t="shared" si="34"/>
        <v>177.02794100524551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19.600000000000001</v>
      </c>
      <c r="AI54" s="14">
        <f>IF('Données projet'!$A$62&gt;35,AI53+AH54-AQ53,IF(A54&lt;'Données projet'!$A$62,$AF$205^A54,IF(A54='Données projet'!$A$62,'Données projet'!$B$62,AI53+AH54-AQ53)))</f>
        <v>560.59999999999968</v>
      </c>
      <c r="AJ54" s="14">
        <f>AI54*VLOOKUP('Données projet'!$B$10,Paramètres!$A$1:$I$89,3,0)*VLOOKUP('Données projet'!$B$10,Paramètres!$A$1:$I$89,5,0)</f>
        <v>313.37539999999984</v>
      </c>
      <c r="AK54" s="14">
        <f t="shared" si="35"/>
        <v>73.973303126717397</v>
      </c>
      <c r="AL54" s="22">
        <f t="shared" si="4"/>
        <v>674.63232461236578</v>
      </c>
      <c r="AM54" s="62">
        <f t="shared" si="5"/>
        <v>967.96565794569915</v>
      </c>
      <c r="AN54" s="62">
        <f ca="1">AVERAGE(OFFSET($AM$3,0,0,'Données projet'!$E$10+1,1))-AVERAGE(OFFSET($H$3,0,0,'Données projet'!$E$10+1,1))</f>
        <v>507.43397352006832</v>
      </c>
      <c r="AO54" s="62">
        <f t="shared" si="36"/>
        <v>631.65579929520936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50.152152835289989</v>
      </c>
      <c r="AV54" s="23">
        <f>EXP(-LN(2)/25)*AV53+(1-EXP(-LN(2)/25))/(LN(2)/25)*Calculateur!AQ54*Calculateur!AS54*VLOOKUP('Données projet'!$B$10,Paramètres!$A$1:$I$89,3,0)*0.475*44/12</f>
        <v>63.399465028659996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113.55161786394999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9.8000000000000007</v>
      </c>
      <c r="BD54" s="13">
        <f>IF('Données projet'!$A$88&gt;35,BD53+BC54-BL53,IF(A54&lt;'Données projet'!$A$88,$BA$205^A54,IF(A54='Données projet'!$A$88,'Données projet'!$B$88,BD53+BC54-BL53)))</f>
        <v>257.80000000000007</v>
      </c>
      <c r="BE54" s="14">
        <f>BD54*VLOOKUP('Données projet'!$B$11,Paramètres!$A$1:$I$89,3,0)*VLOOKUP('Données projet'!$B$11,Paramètres!$A$1:$I$89,5,0)</f>
        <v>201.08400000000006</v>
      </c>
      <c r="BF54" s="14">
        <f t="shared" si="37"/>
        <v>49.982323118757684</v>
      </c>
      <c r="BG54" s="22">
        <f t="shared" si="7"/>
        <v>437.27384609850304</v>
      </c>
      <c r="BH54" s="62">
        <f t="shared" si="8"/>
        <v>730.60717943183636</v>
      </c>
      <c r="BI54" s="62">
        <f ca="1">AVERAGE(OFFSET($BH$3,0,0,'Données projet'!$E$11+1,1))-AVERAGE(OFFSET($H$3,0,0,'Données projet'!$E$11+1,1))</f>
        <v>357.65167206083379</v>
      </c>
      <c r="BJ54" s="62">
        <f t="shared" si="38"/>
        <v>341.23389735986342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9.8300307761269625</v>
      </c>
      <c r="BQ54" s="23">
        <f>EXP(-LN(2)/25)*BQ53+(1-EXP(-LN(2)/25))/(LN(2)/25)*Calculateur!BL54*Calculateur!BN54*VLOOKUP('Données projet'!$B$11,Paramètres!$A$1:$I$89,3,0)*0.475*44/12</f>
        <v>19.707332335814868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29.537363111941829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8.375</v>
      </c>
      <c r="N55" s="14">
        <f>IF('Données projet'!$A$36&gt;35,N54+M55-V54,IF(A55&lt;'Données projet'!$A$36,$K$205^A55,IF(A55='Données projet'!$A$36,'Données projet'!$B$36,N54+M55-V54)))</f>
        <v>122.62500000000009</v>
      </c>
      <c r="O55" s="14">
        <f>N55*VLOOKUP('Données projet'!$B$9,Paramètres!$A$1:$I$89,3,0)*VLOOKUP('Données projet'!$B$9,Paramètres!$A$1:$I$89,5,0)</f>
        <v>110.95110000000007</v>
      </c>
      <c r="P55" s="14">
        <f t="shared" si="33"/>
        <v>29.554958747563848</v>
      </c>
      <c r="Q55" s="22">
        <f t="shared" si="53"/>
        <v>244.71471898534048</v>
      </c>
      <c r="R55" s="62">
        <f t="shared" si="0"/>
        <v>538.04805231867385</v>
      </c>
      <c r="S55" s="62">
        <f ca="1">AVERAGE(OFFSET($R$3,0,0,'Données projet'!$E$9+1,1))-AVERAGE(OFFSET($H$3,0,0,'Données projet'!$E$9+1,1))</f>
        <v>430.41482167204606</v>
      </c>
      <c r="T55" s="62">
        <f t="shared" si="34"/>
        <v>177.02794100524551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19.600000000000001</v>
      </c>
      <c r="AI55" s="14">
        <f>IF('Données projet'!$A$62&gt;35,AI54+AH55-AQ54,IF(A55&lt;'Données projet'!$A$62,$AF$205^A55,IF(A55='Données projet'!$A$62,'Données projet'!$B$62,AI54+AH55-AQ54)))</f>
        <v>580.1999999999997</v>
      </c>
      <c r="AJ55" s="14">
        <f>AI55*VLOOKUP('Données projet'!$B$10,Paramètres!$A$1:$I$89,3,0)*VLOOKUP('Données projet'!$B$10,Paramètres!$A$1:$I$89,5,0)</f>
        <v>324.33179999999987</v>
      </c>
      <c r="AK55" s="14">
        <f t="shared" si="35"/>
        <v>76.25396235082772</v>
      </c>
      <c r="AL55" s="22">
        <f t="shared" si="4"/>
        <v>697.68686942769136</v>
      </c>
      <c r="AM55" s="62">
        <f t="shared" si="5"/>
        <v>991.02020276102462</v>
      </c>
      <c r="AN55" s="62">
        <f ca="1">AVERAGE(OFFSET($AM$3,0,0,'Données projet'!$E$10+1,1))-AVERAGE(OFFSET($H$3,0,0,'Données projet'!$E$10+1,1))</f>
        <v>507.43397352006832</v>
      </c>
      <c r="AO55" s="62">
        <f t="shared" si="36"/>
        <v>631.65579929520936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49.16869970798269</v>
      </c>
      <c r="AV55" s="23">
        <f>EXP(-LN(2)/25)*AV54+(1-EXP(-LN(2)/25))/(LN(2)/25)*Calculateur!AQ55*Calculateur!AS55*VLOOKUP('Données projet'!$B$10,Paramètres!$A$1:$I$89,3,0)*0.475*44/12</f>
        <v>61.665803323418324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110.83450303140101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9.8000000000000007</v>
      </c>
      <c r="BD55" s="13">
        <f>IF('Données projet'!$A$88&gt;35,BD54+BC55-BL54,IF(A55&lt;'Données projet'!$A$88,$BA$205^A55,IF(A55='Données projet'!$A$88,'Données projet'!$B$88,BD54+BC55-BL54)))</f>
        <v>267.60000000000008</v>
      </c>
      <c r="BE55" s="14">
        <f>BD55*VLOOKUP('Données projet'!$B$11,Paramètres!$A$1:$I$89,3,0)*VLOOKUP('Données projet'!$B$11,Paramètres!$A$1:$I$89,5,0)</f>
        <v>208.72800000000007</v>
      </c>
      <c r="BF55" s="14">
        <f t="shared" si="37"/>
        <v>51.657523484203345</v>
      </c>
      <c r="BG55" s="22">
        <f t="shared" si="7"/>
        <v>453.50478673498765</v>
      </c>
      <c r="BH55" s="62">
        <f t="shared" si="8"/>
        <v>746.8381200683209</v>
      </c>
      <c r="BI55" s="62">
        <f ca="1">AVERAGE(OFFSET($BH$3,0,0,'Données projet'!$E$11+1,1))-AVERAGE(OFFSET($H$3,0,0,'Données projet'!$E$11+1,1))</f>
        <v>357.65167206083379</v>
      </c>
      <c r="BJ55" s="62">
        <f t="shared" si="38"/>
        <v>341.23389735986342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9.637269868333858</v>
      </c>
      <c r="BQ55" s="23">
        <f>EXP(-LN(2)/25)*BQ54+(1-EXP(-LN(2)/25))/(LN(2)/25)*Calculateur!BL55*Calculateur!BN55*VLOOKUP('Données projet'!$B$11,Paramètres!$A$1:$I$89,3,0)*0.475*44/12</f>
        <v>19.168434296728446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28.805704165062302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>
        <f>VLOOKUP(A56,'Données projet'!$A$35:$I$55,2,0)</f>
        <v>131</v>
      </c>
      <c r="L56" s="13">
        <f>VLOOKUP(A56,'Données projet'!$A$35:$I$55,9,0)</f>
        <v>8.375</v>
      </c>
      <c r="M56" s="13">
        <f t="array" ref="M56">INDEX(L:L,MIN(IF(ISNUMBER(L56:L252),ROW(L56:L252),"")))</f>
        <v>8.375</v>
      </c>
      <c r="N56" s="14">
        <f>IF('Données projet'!$A$36&gt;35,N55+M56-V55,IF(A56&lt;'Données projet'!$A$36,$K$205^A56,IF(A56='Données projet'!$A$36,'Données projet'!$B$36,N55+M56-V55)))</f>
        <v>131.00000000000009</v>
      </c>
      <c r="O56" s="14">
        <f>N56*VLOOKUP('Données projet'!$B$9,Paramètres!$A$1:$I$89,3,0)*VLOOKUP('Données projet'!$B$9,Paramètres!$A$1:$I$89,5,0)</f>
        <v>118.52880000000007</v>
      </c>
      <c r="P56" s="14">
        <f t="shared" si="33"/>
        <v>31.33162009308975</v>
      </c>
      <c r="Q56" s="22">
        <f t="shared" si="53"/>
        <v>261.00689832879806</v>
      </c>
      <c r="R56" s="62">
        <f t="shared" si="0"/>
        <v>554.34023166213137</v>
      </c>
      <c r="S56" s="62">
        <f ca="1">AVERAGE(OFFSET($R$3,0,0,'Données projet'!$E$9+1,1))-AVERAGE(OFFSET($H$3,0,0,'Données projet'!$E$9+1,1))</f>
        <v>430.41482167204606</v>
      </c>
      <c r="T56" s="62">
        <f t="shared" si="34"/>
        <v>177.02794100524551</v>
      </c>
      <c r="U56" s="16">
        <f>IF(ISNA(VLOOKUP(A56,'Données projet'!$A$35:$I$55,3,0)),0,VLOOKUP(A56,'Données projet'!$A$35:$I$55,3,0))</f>
        <v>2</v>
      </c>
      <c r="V56" s="16">
        <f>IF(ISNA(VLOOKUP(A56,'Données projet'!$A$35:$I$55,4,0)),0,VLOOKUP(A56,'Données projet'!$A$35:$I$55,4,0))</f>
        <v>42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19.600000000000001</v>
      </c>
      <c r="AI56" s="14">
        <f>IF('Données projet'!$A$62&gt;35,AI55+AH56-AQ55,IF(A56&lt;'Données projet'!$A$62,$AF$205^A56,IF(A56='Données projet'!$A$62,'Données projet'!$B$62,AI55+AH56-AQ55)))</f>
        <v>599.79999999999973</v>
      </c>
      <c r="AJ56" s="14">
        <f>AI56*VLOOKUP('Données projet'!$B$10,Paramètres!$A$1:$I$89,3,0)*VLOOKUP('Données projet'!$B$10,Paramètres!$A$1:$I$89,5,0)</f>
        <v>335.28819999999985</v>
      </c>
      <c r="AK56" s="14">
        <f t="shared" si="35"/>
        <v>78.525669464786475</v>
      </c>
      <c r="AL56" s="22">
        <f t="shared" si="4"/>
        <v>720.72582265116944</v>
      </c>
      <c r="AM56" s="62">
        <f t="shared" si="5"/>
        <v>1014.0591559845027</v>
      </c>
      <c r="AN56" s="62">
        <f ca="1">AVERAGE(OFFSET($AM$3,0,0,'Données projet'!$E$10+1,1))-AVERAGE(OFFSET($H$3,0,0,'Données projet'!$E$10+1,1))</f>
        <v>507.43397352006832</v>
      </c>
      <c r="AO56" s="62">
        <f t="shared" si="36"/>
        <v>631.65579929520936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48.20453149665471</v>
      </c>
      <c r="AV56" s="23">
        <f>EXP(-LN(2)/25)*AV55+(1-EXP(-LN(2)/25))/(LN(2)/25)*Calculateur!AQ56*Calculateur!AS56*VLOOKUP('Données projet'!$B$10,Paramètres!$A$1:$I$89,3,0)*0.475*44/12</f>
        <v>59.979548688675791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108.1840801853305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9.8000000000000007</v>
      </c>
      <c r="BD56" s="13">
        <f>IF('Données projet'!$A$88&gt;35,BD55+BC56-BL55,IF(A56&lt;'Données projet'!$A$88,$BA$205^A56,IF(A56='Données projet'!$A$88,'Données projet'!$B$88,BD55+BC56-BL55)))</f>
        <v>277.40000000000009</v>
      </c>
      <c r="BE56" s="14">
        <f>BD56*VLOOKUP('Données projet'!$B$11,Paramètres!$A$1:$I$89,3,0)*VLOOKUP('Données projet'!$B$11,Paramètres!$A$1:$I$89,5,0)</f>
        <v>216.37200000000007</v>
      </c>
      <c r="BF56" s="14">
        <f t="shared" si="37"/>
        <v>53.325596354398634</v>
      </c>
      <c r="BG56" s="22">
        <f t="shared" si="7"/>
        <v>469.72331365057767</v>
      </c>
      <c r="BH56" s="62">
        <f t="shared" si="8"/>
        <v>763.05664698391092</v>
      </c>
      <c r="BI56" s="62">
        <f ca="1">AVERAGE(OFFSET($BH$3,0,0,'Données projet'!$E$11+1,1))-AVERAGE(OFFSET($H$3,0,0,'Données projet'!$E$11+1,1))</f>
        <v>357.65167206083379</v>
      </c>
      <c r="BJ56" s="62">
        <f t="shared" si="38"/>
        <v>341.23389735986342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9.4482888843700312</v>
      </c>
      <c r="BQ56" s="23">
        <f>EXP(-LN(2)/25)*BQ55+(1-EXP(-LN(2)/25))/(LN(2)/25)*Calculateur!BL56*Calculateur!BN56*VLOOKUP('Données projet'!$B$11,Paramètres!$A$1:$I$89,3,0)*0.475*44/12</f>
        <v>18.644272452860257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28.092561337230286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8.25</v>
      </c>
      <c r="N57" s="14">
        <f>IF('Données projet'!$A$36&gt;35,N56+M57-V56,IF(A57&lt;'Données projet'!$A$36,$K$205^A57,IF(A57='Données projet'!$A$36,'Données projet'!$B$36,N56+M57-V56)))</f>
        <v>97.250000000000085</v>
      </c>
      <c r="O57" s="14">
        <f>N57*VLOOKUP('Données projet'!$B$9,Paramètres!$A$1:$I$89,3,0)*VLOOKUP('Données projet'!$B$9,Paramètres!$A$1:$I$89,5,0)</f>
        <v>87.991800000000069</v>
      </c>
      <c r="P57" s="14">
        <f t="shared" si="33"/>
        <v>24.080261258375533</v>
      </c>
      <c r="Q57" s="22">
        <f t="shared" si="53"/>
        <v>195.1921733583375</v>
      </c>
      <c r="R57" s="62">
        <f t="shared" si="0"/>
        <v>488.52550669167078</v>
      </c>
      <c r="S57" s="62">
        <f ca="1">AVERAGE(OFFSET($R$3,0,0,'Données projet'!$E$9+1,1))-AVERAGE(OFFSET($H$3,0,0,'Données projet'!$E$9+1,1))</f>
        <v>430.41482167204606</v>
      </c>
      <c r="T57" s="62">
        <f t="shared" si="34"/>
        <v>177.02794100524551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19.600000000000001</v>
      </c>
      <c r="AI57" s="14">
        <f>IF('Données projet'!$A$62&gt;35,AI56+AH57-AQ56,IF(A57&lt;'Données projet'!$A$62,$AF$205^A57,IF(A57='Données projet'!$A$62,'Données projet'!$B$62,AI56+AH57-AQ56)))</f>
        <v>619.39999999999975</v>
      </c>
      <c r="AJ57" s="14">
        <f>AI57*VLOOKUP('Données projet'!$B$10,Paramètres!$A$1:$I$89,3,0)*VLOOKUP('Données projet'!$B$10,Paramètres!$A$1:$I$89,5,0)</f>
        <v>346.24459999999982</v>
      </c>
      <c r="AK57" s="14">
        <f t="shared" si="35"/>
        <v>80.788750550071725</v>
      </c>
      <c r="AL57" s="22">
        <f t="shared" si="4"/>
        <v>743.74975220804117</v>
      </c>
      <c r="AM57" s="62">
        <f t="shared" si="5"/>
        <v>1037.0830855413744</v>
      </c>
      <c r="AN57" s="62">
        <f ca="1">AVERAGE(OFFSET($AM$3,0,0,'Données projet'!$E$10+1,1))-AVERAGE(OFFSET($H$3,0,0,'Données projet'!$E$10+1,1))</f>
        <v>507.43397352006832</v>
      </c>
      <c r="AO57" s="62">
        <f t="shared" si="36"/>
        <v>631.65579929520936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47.259270035866329</v>
      </c>
      <c r="AV57" s="23">
        <f>EXP(-LN(2)/25)*AV56+(1-EXP(-LN(2)/25))/(LN(2)/25)*Calculateur!AQ57*Calculateur!AS57*VLOOKUP('Données projet'!$B$10,Paramètres!$A$1:$I$89,3,0)*0.475*44/12</f>
        <v>58.33940477559657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105.5986748114629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9.8000000000000007</v>
      </c>
      <c r="BD57" s="13">
        <f>IF('Données projet'!$A$88&gt;35,BD56+BC57-BL56,IF(A57&lt;'Données projet'!$A$88,$BA$205^A57,IF(A57='Données projet'!$A$88,'Données projet'!$B$88,BD56+BC57-BL56)))</f>
        <v>287.2000000000001</v>
      </c>
      <c r="BE57" s="14">
        <f>BD57*VLOOKUP('Données projet'!$B$11,Paramètres!$A$1:$I$89,3,0)*VLOOKUP('Données projet'!$B$11,Paramètres!$A$1:$I$89,5,0)</f>
        <v>224.01600000000008</v>
      </c>
      <c r="BF57" s="14">
        <f t="shared" si="37"/>
        <v>54.986822380896371</v>
      </c>
      <c r="BG57" s="22">
        <f t="shared" si="7"/>
        <v>485.92991564672792</v>
      </c>
      <c r="BH57" s="62">
        <f t="shared" si="8"/>
        <v>779.26324898006123</v>
      </c>
      <c r="BI57" s="62">
        <f ca="1">AVERAGE(OFFSET($BH$3,0,0,'Données projet'!$E$11+1,1))-AVERAGE(OFFSET($H$3,0,0,'Données projet'!$E$11+1,1))</f>
        <v>357.65167206083379</v>
      </c>
      <c r="BJ57" s="62">
        <f t="shared" si="38"/>
        <v>341.23389735986342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9.2630137022347157</v>
      </c>
      <c r="BQ57" s="23">
        <f>EXP(-LN(2)/25)*BQ56+(1-EXP(-LN(2)/25))/(LN(2)/25)*Calculateur!BL57*Calculateur!BN57*VLOOKUP('Données projet'!$B$11,Paramètres!$A$1:$I$89,3,0)*0.475*44/12</f>
        <v>18.134443842177117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27.397457544411832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8.25</v>
      </c>
      <c r="N58" s="14">
        <f>IF('Données projet'!$A$36&gt;35,N57+M58-V57,IF(A58&lt;'Données projet'!$A$36,$K$205^A58,IF(A58='Données projet'!$A$36,'Données projet'!$B$36,N57+M58-V57)))</f>
        <v>105.50000000000009</v>
      </c>
      <c r="O58" s="14">
        <f>N58*VLOOKUP('Données projet'!$B$9,Paramètres!$A$1:$I$89,3,0)*VLOOKUP('Données projet'!$B$9,Paramètres!$A$1:$I$89,5,0)</f>
        <v>95.456400000000073</v>
      </c>
      <c r="P58" s="14">
        <f t="shared" si="33"/>
        <v>25.87663550324908</v>
      </c>
      <c r="Q58" s="22">
        <f t="shared" si="53"/>
        <v>211.32170350149227</v>
      </c>
      <c r="R58" s="62">
        <f t="shared" si="0"/>
        <v>504.65503683482558</v>
      </c>
      <c r="S58" s="62">
        <f ca="1">AVERAGE(OFFSET($R$3,0,0,'Données projet'!$E$9+1,1))-AVERAGE(OFFSET($H$3,0,0,'Données projet'!$E$9+1,1))</f>
        <v>430.41482167204606</v>
      </c>
      <c r="T58" s="62">
        <f t="shared" si="34"/>
        <v>177.02794100524551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639</v>
      </c>
      <c r="AG58" s="13">
        <f>VLOOKUP(A58,'Données projet'!$A$61:$I$81,9,0)</f>
        <v>19.600000000000001</v>
      </c>
      <c r="AH58" s="13">
        <f t="array" ref="AH58">INDEX(AG:AG,MIN(IF(ISNUMBER(AG58:AG254),ROW(AG58:AG254),"")))</f>
        <v>19.600000000000001</v>
      </c>
      <c r="AI58" s="14">
        <f>IF('Données projet'!$A$62&gt;35,AI57+AH58-AQ57,IF(A58&lt;'Données projet'!$A$62,$AF$205^A58,IF(A58='Données projet'!$A$62,'Données projet'!$B$62,AI57+AH58-AQ57)))</f>
        <v>638.99999999999977</v>
      </c>
      <c r="AJ58" s="14">
        <f>AI58*VLOOKUP('Données projet'!$B$10,Paramètres!$A$1:$I$89,3,0)*VLOOKUP('Données projet'!$B$10,Paramètres!$A$1:$I$89,5,0)</f>
        <v>357.20099999999991</v>
      </c>
      <c r="AK58" s="14">
        <f t="shared" si="35"/>
        <v>83.043509879488369</v>
      </c>
      <c r="AL58" s="22">
        <f t="shared" si="4"/>
        <v>766.75918804010871</v>
      </c>
      <c r="AM58" s="62">
        <f t="shared" si="5"/>
        <v>1060.092521373442</v>
      </c>
      <c r="AN58" s="62">
        <f ca="1">AVERAGE(OFFSET($AM$3,0,0,'Données projet'!$E$10+1,1))-AVERAGE(OFFSET($H$3,0,0,'Données projet'!$E$10+1,1))</f>
        <v>507.43397352006832</v>
      </c>
      <c r="AO58" s="62">
        <f t="shared" si="36"/>
        <v>631.65579929520936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66</v>
      </c>
      <c r="AR58" s="17">
        <f>IF(ISNA(VLOOKUP(A58,'Données projet'!$A$61:$I$81,5,0)),0%,VLOOKUP(A58,'Données projet'!$A$61:$I$81,5,0)*VLOOKUP('Données projet'!$B$10,Paramètres!$A$1:$I$89,7,0))</f>
        <v>0.55000000000000004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73.250792536213979</v>
      </c>
      <c r="AV58" s="23">
        <f>EXP(-LN(2)/25)*AV57+(1-EXP(-LN(2)/25))/(LN(2)/25)*Calculateur!AQ58*Calculateur!AS58*VLOOKUP('Données projet'!$B$10,Paramètres!$A$1:$I$89,3,0)*0.475*44/12</f>
        <v>56.74411068407192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129.99490322028589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297</v>
      </c>
      <c r="BB58" s="13">
        <f>VLOOKUP(A58,'Données projet'!$A$87:$I$107,9,0)</f>
        <v>9.8000000000000007</v>
      </c>
      <c r="BC58" s="13">
        <f t="array" ref="BC58">INDEX(BB:BB,MIN(IF(ISNUMBER(BB58:BB254),ROW(BB58:BB254),"")))</f>
        <v>9.8000000000000007</v>
      </c>
      <c r="BD58" s="13">
        <f>IF('Données projet'!$A$88&gt;35,BD57+BC58-BL57,IF(A58&lt;'Données projet'!$A$88,$BA$205^A58,IF(A58='Données projet'!$A$88,'Données projet'!$B$88,BD57+BC58-BL57)))</f>
        <v>297.00000000000011</v>
      </c>
      <c r="BE58" s="14">
        <f>BD58*VLOOKUP('Données projet'!$B$11,Paramètres!$A$1:$I$89,3,0)*VLOOKUP('Données projet'!$B$11,Paramètres!$A$1:$I$89,5,0)</f>
        <v>231.66000000000011</v>
      </c>
      <c r="BF58" s="14">
        <f t="shared" si="37"/>
        <v>56.641461975682823</v>
      </c>
      <c r="BG58" s="22">
        <f t="shared" si="7"/>
        <v>502.1250462743144</v>
      </c>
      <c r="BH58" s="62">
        <f t="shared" si="8"/>
        <v>795.45837960764766</v>
      </c>
      <c r="BI58" s="62">
        <f ca="1">AVERAGE(OFFSET($BH$3,0,0,'Données projet'!$E$11+1,1))-AVERAGE(OFFSET($H$3,0,0,'Données projet'!$E$11+1,1))</f>
        <v>357.65167206083379</v>
      </c>
      <c r="BJ58" s="62">
        <f t="shared" si="38"/>
        <v>341.23389735986342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0.17200000000000001</v>
      </c>
      <c r="BN58" s="17">
        <f>IF(ISNA(VLOOKUP(A58,'Données projet'!$A$87:$I$107,6,0)),0%,VLOOKUP(A58,'Données projet'!$A$87:$I$107,6,0)*VLOOKUP('Données projet'!$B$11,Paramètres!$A$1:$I$89,7,0))</f>
        <v>0.215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14.272218367549293</v>
      </c>
      <c r="BQ58" s="23">
        <f>EXP(-LN(2)/25)*BQ57+(1-EXP(-LN(2)/25))/(LN(2)/25)*Calculateur!BL58*Calculateur!BN58*VLOOKUP('Données projet'!$B$11,Paramètres!$A$1:$I$89,3,0)*0.475*44/12</f>
        <v>24.101566987605967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38.373785355155263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8.25</v>
      </c>
      <c r="N59" s="14">
        <f>IF('Données projet'!$A$36&gt;35,N58+M59-V58,IF(A59&lt;'Données projet'!$A$36,$K$205^A59,IF(A59='Données projet'!$A$36,'Données projet'!$B$36,N58+M59-V58)))</f>
        <v>113.75000000000009</v>
      </c>
      <c r="O59" s="14">
        <f>N59*VLOOKUP('Données projet'!$B$9,Paramètres!$A$1:$I$89,3,0)*VLOOKUP('Données projet'!$B$9,Paramètres!$A$1:$I$89,5,0)</f>
        <v>102.92100000000008</v>
      </c>
      <c r="P59" s="14">
        <f t="shared" si="33"/>
        <v>27.656715158188064</v>
      </c>
      <c r="Q59" s="22">
        <f t="shared" si="53"/>
        <v>227.422853900511</v>
      </c>
      <c r="R59" s="62">
        <f t="shared" si="0"/>
        <v>520.75618723384434</v>
      </c>
      <c r="S59" s="62">
        <f ca="1">AVERAGE(OFFSET($R$3,0,0,'Données projet'!$E$9+1,1))-AVERAGE(OFFSET($H$3,0,0,'Données projet'!$E$9+1,1))</f>
        <v>430.41482167204606</v>
      </c>
      <c r="T59" s="62">
        <f t="shared" si="34"/>
        <v>177.02794100524551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17.2</v>
      </c>
      <c r="AI59" s="14">
        <f>IF('Données projet'!$A$62&gt;35,AI58+AH59-AQ58,IF(A59&lt;'Données projet'!$A$62,$AF$205^A59,IF(A59='Données projet'!$A$62,'Données projet'!$B$62,AI58+AH59-AQ58)))</f>
        <v>590.19999999999982</v>
      </c>
      <c r="AJ59" s="14">
        <f>AI59*VLOOKUP('Données projet'!$B$10,Paramètres!$A$1:$I$89,3,0)*VLOOKUP('Données projet'!$B$10,Paramètres!$A$1:$I$89,5,0)</f>
        <v>329.92179999999991</v>
      </c>
      <c r="AK59" s="14">
        <f t="shared" si="35"/>
        <v>77.414094093053606</v>
      </c>
      <c r="AL59" s="22">
        <f t="shared" si="4"/>
        <v>709.44334887873481</v>
      </c>
      <c r="AM59" s="62">
        <f t="shared" si="5"/>
        <v>1002.7766822120682</v>
      </c>
      <c r="AN59" s="62">
        <f ca="1">AVERAGE(OFFSET($AM$3,0,0,'Données projet'!$E$10+1,1))-AVERAGE(OFFSET($H$3,0,0,'Données projet'!$E$10+1,1))</f>
        <v>507.43397352006832</v>
      </c>
      <c r="AO59" s="62">
        <f t="shared" si="36"/>
        <v>631.65579929520936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71.81438917315063</v>
      </c>
      <c r="AV59" s="23">
        <f>EXP(-LN(2)/25)*AV58+(1-EXP(-LN(2)/25))/(LN(2)/25)*Calculateur!AQ59*Calculateur!AS59*VLOOKUP('Données projet'!$B$10,Paramètres!$A$1:$I$89,3,0)*0.475*44/12</f>
        <v>55.192439993372886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127.00682916652352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9.6</v>
      </c>
      <c r="BD59" s="13">
        <f>IF('Données projet'!$A$88&gt;35,BD58+BC59-BL58,IF(A59&lt;'Données projet'!$A$88,$BA$205^A59,IF(A59='Données projet'!$A$88,'Données projet'!$B$88,BD58+BC59-BL58)))</f>
        <v>271.60000000000014</v>
      </c>
      <c r="BE59" s="14">
        <f>BD59*VLOOKUP('Données projet'!$B$11,Paramètres!$A$1:$I$89,3,0)*VLOOKUP('Données projet'!$B$11,Paramètres!$A$1:$I$89,5,0)</f>
        <v>211.84800000000013</v>
      </c>
      <c r="BF59" s="14">
        <f t="shared" si="37"/>
        <v>52.33921403960656</v>
      </c>
      <c r="BG59" s="22">
        <f t="shared" si="7"/>
        <v>460.12606445231495</v>
      </c>
      <c r="BH59" s="62">
        <f t="shared" si="8"/>
        <v>753.45939778564821</v>
      </c>
      <c r="BI59" s="62">
        <f ca="1">AVERAGE(OFFSET($BH$3,0,0,'Données projet'!$E$11+1,1))-AVERAGE(OFFSET($H$3,0,0,'Données projet'!$E$11+1,1))</f>
        <v>357.65167206083379</v>
      </c>
      <c r="BJ59" s="62">
        <f t="shared" si="38"/>
        <v>341.23389735986342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13.992348870555288</v>
      </c>
      <c r="BQ59" s="23">
        <f>EXP(-LN(2)/25)*BQ58+(1-EXP(-LN(2)/25))/(LN(2)/25)*Calculateur!BL59*Calculateur!BN59*VLOOKUP('Données projet'!$B$11,Paramètres!$A$1:$I$89,3,0)*0.475*44/12</f>
        <v>23.442508370883559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37.434857241438849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8.25</v>
      </c>
      <c r="N60" s="14">
        <f>IF('Données projet'!$A$36&gt;35,N59+M60-V59,IF(A60&lt;'Données projet'!$A$36,$K$205^A60,IF(A60='Données projet'!$A$36,'Données projet'!$B$36,N59+M60-V59)))</f>
        <v>122.00000000000009</v>
      </c>
      <c r="O60" s="14">
        <f>N60*VLOOKUP('Données projet'!$B$9,Paramètres!$A$1:$I$89,3,0)*VLOOKUP('Données projet'!$B$9,Paramètres!$A$1:$I$89,5,0)</f>
        <v>110.38560000000008</v>
      </c>
      <c r="P60" s="14">
        <f t="shared" si="33"/>
        <v>29.421816429201431</v>
      </c>
      <c r="Q60" s="22">
        <f t="shared" si="53"/>
        <v>243.49791694752594</v>
      </c>
      <c r="R60" s="62">
        <f t="shared" si="0"/>
        <v>536.83125028085919</v>
      </c>
      <c r="S60" s="62">
        <f ca="1">AVERAGE(OFFSET($R$3,0,0,'Données projet'!$E$9+1,1))-AVERAGE(OFFSET($H$3,0,0,'Données projet'!$E$9+1,1))</f>
        <v>430.41482167204606</v>
      </c>
      <c r="T60" s="62">
        <f t="shared" si="34"/>
        <v>177.02794100524551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17.2</v>
      </c>
      <c r="AI60" s="14">
        <f>IF('Données projet'!$A$62&gt;35,AI59+AH60-AQ59,IF(A60&lt;'Données projet'!$A$62,$AF$205^A60,IF(A60='Données projet'!$A$62,'Données projet'!$B$62,AI59+AH60-AQ59)))</f>
        <v>607.39999999999986</v>
      </c>
      <c r="AJ60" s="14">
        <f>AI60*VLOOKUP('Données projet'!$B$10,Paramètres!$A$1:$I$89,3,0)*VLOOKUP('Données projet'!$B$10,Paramètres!$A$1:$I$89,5,0)</f>
        <v>339.53659999999996</v>
      </c>
      <c r="AK60" s="14">
        <f t="shared" si="35"/>
        <v>79.404197449484201</v>
      </c>
      <c r="AL60" s="22">
        <f t="shared" si="4"/>
        <v>729.65522222451818</v>
      </c>
      <c r="AM60" s="62">
        <f t="shared" si="5"/>
        <v>1022.9885555578514</v>
      </c>
      <c r="AN60" s="62">
        <f ca="1">AVERAGE(OFFSET($AM$3,0,0,'Données projet'!$E$10+1,1))-AVERAGE(OFFSET($H$3,0,0,'Données projet'!$E$10+1,1))</f>
        <v>507.43397352006832</v>
      </c>
      <c r="AO60" s="62">
        <f t="shared" si="36"/>
        <v>631.65579929520936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70.406152803917408</v>
      </c>
      <c r="AV60" s="23">
        <f>EXP(-LN(2)/25)*AV59+(1-EXP(-LN(2)/25))/(LN(2)/25)*Calculateur!AQ60*Calculateur!AS60*VLOOKUP('Données projet'!$B$10,Paramètres!$A$1:$I$89,3,0)*0.475*44/12</f>
        <v>53.683199819309827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124.08935262322723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9.6</v>
      </c>
      <c r="BD60" s="13">
        <f>IF('Données projet'!$A$88&gt;35,BD59+BC60-BL59,IF(A60&lt;'Données projet'!$A$88,$BA$205^A60,IF(A60='Données projet'!$A$88,'Données projet'!$B$88,BD59+BC60-BL59)))</f>
        <v>281.20000000000016</v>
      </c>
      <c r="BE60" s="14">
        <f>BD60*VLOOKUP('Données projet'!$B$11,Paramètres!$A$1:$I$89,3,0)*VLOOKUP('Données projet'!$B$11,Paramètres!$A$1:$I$89,5,0)</f>
        <v>219.33600000000013</v>
      </c>
      <c r="BF60" s="14">
        <f t="shared" si="37"/>
        <v>53.97054322228994</v>
      </c>
      <c r="BG60" s="22">
        <f t="shared" si="7"/>
        <v>476.00889611215524</v>
      </c>
      <c r="BH60" s="62">
        <f t="shared" si="8"/>
        <v>769.34222944548856</v>
      </c>
      <c r="BI60" s="62">
        <f ca="1">AVERAGE(OFFSET($BH$3,0,0,'Données projet'!$E$11+1,1))-AVERAGE(OFFSET($H$3,0,0,'Données projet'!$E$11+1,1))</f>
        <v>357.65167206083379</v>
      </c>
      <c r="BJ60" s="62">
        <f t="shared" si="38"/>
        <v>341.23389735986342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13.7179674436938</v>
      </c>
      <c r="BQ60" s="23">
        <f>EXP(-LN(2)/25)*BQ59+(1-EXP(-LN(2)/25))/(LN(2)/25)*Calculateur!BL60*Calculateur!BN60*VLOOKUP('Données projet'!$B$11,Paramètres!$A$1:$I$89,3,0)*0.475*44/12</f>
        <v>22.80147174669381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36.519439190387608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8.25</v>
      </c>
      <c r="N61" s="14">
        <f>IF('Données projet'!$A$36&gt;35,N60+M61-V60,IF(A61&lt;'Données projet'!$A$36,$K$205^A61,IF(A61='Données projet'!$A$36,'Données projet'!$B$36,N60+M61-V60)))</f>
        <v>130.25000000000009</v>
      </c>
      <c r="O61" s="14">
        <f>N61*VLOOKUP('Données projet'!$B$9,Paramètres!$A$1:$I$89,3,0)*VLOOKUP('Données projet'!$B$9,Paramètres!$A$1:$I$89,5,0)</f>
        <v>117.85020000000007</v>
      </c>
      <c r="P61" s="14">
        <f t="shared" si="33"/>
        <v>31.173067437106187</v>
      </c>
      <c r="Q61" s="22">
        <f t="shared" si="53"/>
        <v>259.54885745296002</v>
      </c>
      <c r="R61" s="62">
        <f t="shared" si="0"/>
        <v>552.88219078629334</v>
      </c>
      <c r="S61" s="62">
        <f ca="1">AVERAGE(OFFSET($R$3,0,0,'Données projet'!$E$9+1,1))-AVERAGE(OFFSET($H$3,0,0,'Données projet'!$E$9+1,1))</f>
        <v>430.41482167204606</v>
      </c>
      <c r="T61" s="62">
        <f t="shared" si="34"/>
        <v>177.02794100524551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17.2</v>
      </c>
      <c r="AI61" s="14">
        <f>IF('Données projet'!$A$62&gt;35,AI60+AH61-AQ60,IF(A61&lt;'Données projet'!$A$62,$AF$205^A61,IF(A61='Données projet'!$A$62,'Données projet'!$B$62,AI60+AH61-AQ60)))</f>
        <v>624.59999999999991</v>
      </c>
      <c r="AJ61" s="14">
        <f>AI61*VLOOKUP('Données projet'!$B$10,Paramètres!$A$1:$I$89,3,0)*VLOOKUP('Données projet'!$B$10,Paramètres!$A$1:$I$89,5,0)</f>
        <v>349.15139999999997</v>
      </c>
      <c r="AK61" s="14">
        <f t="shared" si="35"/>
        <v>81.387751005688074</v>
      </c>
      <c r="AL61" s="22">
        <f t="shared" si="4"/>
        <v>749.85568800157341</v>
      </c>
      <c r="AM61" s="62">
        <f t="shared" si="5"/>
        <v>1043.1890213349068</v>
      </c>
      <c r="AN61" s="62">
        <f ca="1">AVERAGE(OFFSET($AM$3,0,0,'Données projet'!$E$10+1,1))-AVERAGE(OFFSET($H$3,0,0,'Données projet'!$E$10+1,1))</f>
        <v>507.43397352006832</v>
      </c>
      <c r="AO61" s="62">
        <f t="shared" si="36"/>
        <v>631.65579929520936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69.025531090945478</v>
      </c>
      <c r="AV61" s="23">
        <f>EXP(-LN(2)/25)*AV60+(1-EXP(-LN(2)/25))/(LN(2)/25)*Calculateur!AQ61*Calculateur!AS61*VLOOKUP('Données projet'!$B$10,Paramètres!$A$1:$I$89,3,0)*0.475*44/12</f>
        <v>52.215229897174019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121.24076098811949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9.6</v>
      </c>
      <c r="BD61" s="13">
        <f>IF('Données projet'!$A$88&gt;35,BD60+BC61-BL60,IF(A61&lt;'Données projet'!$A$88,$BA$205^A61,IF(A61='Données projet'!$A$88,'Données projet'!$B$88,BD60+BC61-BL60)))</f>
        <v>290.80000000000018</v>
      </c>
      <c r="BE61" s="14">
        <f>BD61*VLOOKUP('Données projet'!$B$11,Paramètres!$A$1:$I$89,3,0)*VLOOKUP('Données projet'!$B$11,Paramètres!$A$1:$I$89,5,0)</f>
        <v>226.82400000000015</v>
      </c>
      <c r="BF61" s="14">
        <f t="shared" si="37"/>
        <v>55.59540132136393</v>
      </c>
      <c r="BG61" s="22">
        <f t="shared" si="7"/>
        <v>491.88045730137583</v>
      </c>
      <c r="BH61" s="62">
        <f t="shared" si="8"/>
        <v>785.21379063470908</v>
      </c>
      <c r="BI61" s="62">
        <f ca="1">AVERAGE(OFFSET($BH$3,0,0,'Données projet'!$E$11+1,1))-AVERAGE(OFFSET($H$3,0,0,'Données projet'!$E$11+1,1))</f>
        <v>357.65167206083379</v>
      </c>
      <c r="BJ61" s="62">
        <f t="shared" si="38"/>
        <v>341.23389735986342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13.44896646925692</v>
      </c>
      <c r="BQ61" s="23">
        <f>EXP(-LN(2)/25)*BQ60+(1-EXP(-LN(2)/25))/(LN(2)/25)*Calculateur!BL61*Calculateur!BN61*VLOOKUP('Données projet'!$B$11,Paramètres!$A$1:$I$89,3,0)*0.475*44/12</f>
        <v>22.177964302703181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35.626930771960104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8.25</v>
      </c>
      <c r="N62" s="14">
        <f>IF('Données projet'!$A$36&gt;35,N61+M62-V61,IF(A62&lt;'Données projet'!$A$36,$K$205^A62,IF(A62='Données projet'!$A$36,'Données projet'!$B$36,N61+M62-V61)))</f>
        <v>138.50000000000009</v>
      </c>
      <c r="O62" s="14">
        <f>N62*VLOOKUP('Données projet'!$B$9,Paramètres!$A$1:$I$89,3,0)*VLOOKUP('Données projet'!$B$9,Paramètres!$A$1:$I$89,5,0)</f>
        <v>125.31480000000006</v>
      </c>
      <c r="P62" s="14">
        <f t="shared" si="33"/>
        <v>32.911445314387223</v>
      </c>
      <c r="Q62" s="22">
        <f t="shared" si="53"/>
        <v>275.57737725589118</v>
      </c>
      <c r="R62" s="62">
        <f t="shared" si="0"/>
        <v>568.91071058922444</v>
      </c>
      <c r="S62" s="62">
        <f ca="1">AVERAGE(OFFSET($R$3,0,0,'Données projet'!$E$9+1,1))-AVERAGE(OFFSET($H$3,0,0,'Données projet'!$E$9+1,1))</f>
        <v>430.41482167204606</v>
      </c>
      <c r="T62" s="62">
        <f t="shared" si="34"/>
        <v>177.02794100524551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17.2</v>
      </c>
      <c r="AI62" s="14">
        <f>IF('Données projet'!$A$62&gt;35,AI61+AH62-AQ61,IF(A62&lt;'Données projet'!$A$62,$AF$205^A62,IF(A62='Données projet'!$A$62,'Données projet'!$B$62,AI61+AH62-AQ61)))</f>
        <v>641.79999999999995</v>
      </c>
      <c r="AJ62" s="14">
        <f>AI62*VLOOKUP('Données projet'!$B$10,Paramètres!$A$1:$I$89,3,0)*VLOOKUP('Données projet'!$B$10,Paramètres!$A$1:$I$89,5,0)</f>
        <v>358.76620000000003</v>
      </c>
      <c r="AK62" s="14">
        <f t="shared" si="35"/>
        <v>83.364955851300309</v>
      </c>
      <c r="AL62" s="22">
        <f t="shared" si="4"/>
        <v>770.04509644101472</v>
      </c>
      <c r="AM62" s="62">
        <f t="shared" si="5"/>
        <v>1063.378429774348</v>
      </c>
      <c r="AN62" s="62">
        <f ca="1">AVERAGE(OFFSET($AM$3,0,0,'Données projet'!$E$10+1,1))-AVERAGE(OFFSET($H$3,0,0,'Données projet'!$E$10+1,1))</f>
        <v>507.43397352006832</v>
      </c>
      <c r="AO62" s="62">
        <f t="shared" si="36"/>
        <v>631.65579929520936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67.671982527668831</v>
      </c>
      <c r="AV62" s="23">
        <f>EXP(-LN(2)/25)*AV61+(1-EXP(-LN(2)/25))/(LN(2)/25)*Calculateur!AQ62*Calculateur!AS62*VLOOKUP('Données projet'!$B$10,Paramètres!$A$1:$I$89,3,0)*0.475*44/12</f>
        <v>50.787401689756194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118.45938421742503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9.6</v>
      </c>
      <c r="BD62" s="13">
        <f>IF('Données projet'!$A$88&gt;35,BD61+BC62-BL61,IF(A62&lt;'Données projet'!$A$88,$BA$205^A62,IF(A62='Données projet'!$A$88,'Données projet'!$B$88,BD61+BC62-BL61)))</f>
        <v>300.4000000000002</v>
      </c>
      <c r="BE62" s="14">
        <f>BD62*VLOOKUP('Données projet'!$B$11,Paramètres!$A$1:$I$89,3,0)*VLOOKUP('Données projet'!$B$11,Paramètres!$A$1:$I$89,5,0)</f>
        <v>234.31200000000015</v>
      </c>
      <c r="BF62" s="14">
        <f t="shared" si="37"/>
        <v>57.214026458952496</v>
      </c>
      <c r="BG62" s="22">
        <f t="shared" si="7"/>
        <v>507.74116274934249</v>
      </c>
      <c r="BH62" s="62">
        <f t="shared" si="8"/>
        <v>801.07449608267575</v>
      </c>
      <c r="BI62" s="62">
        <f ca="1">AVERAGE(OFFSET($BH$3,0,0,'Données projet'!$E$11+1,1))-AVERAGE(OFFSET($H$3,0,0,'Données projet'!$E$11+1,1))</f>
        <v>357.65167206083379</v>
      </c>
      <c r="BJ62" s="62">
        <f t="shared" si="38"/>
        <v>341.23389735986342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13.185240439854352</v>
      </c>
      <c r="BQ62" s="23">
        <f>EXP(-LN(2)/25)*BQ61+(1-EXP(-LN(2)/25))/(LN(2)/25)*Calculateur!BL62*Calculateur!BN62*VLOOKUP('Données projet'!$B$11,Paramètres!$A$1:$I$89,3,0)*0.475*44/12</f>
        <v>21.571506702557308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34.756747142411662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8.25</v>
      </c>
      <c r="N63" s="14">
        <f>IF('Données projet'!$A$36&gt;35,N62+M63-V62,IF(A63&lt;'Données projet'!$A$36,$K$205^A63,IF(A63='Données projet'!$A$36,'Données projet'!$B$36,N62+M63-V62)))</f>
        <v>146.75000000000009</v>
      </c>
      <c r="O63" s="14">
        <f>N63*VLOOKUP('Données projet'!$B$9,Paramètres!$A$1:$I$89,3,0)*VLOOKUP('Données projet'!$B$9,Paramètres!$A$1:$I$89,5,0)</f>
        <v>132.77940000000007</v>
      </c>
      <c r="P63" s="14">
        <f t="shared" si="33"/>
        <v>34.637804207667507</v>
      </c>
      <c r="Q63" s="22">
        <f t="shared" si="53"/>
        <v>291.58496399502098</v>
      </c>
      <c r="R63" s="62">
        <f t="shared" si="0"/>
        <v>584.91829732835436</v>
      </c>
      <c r="S63" s="62">
        <f ca="1">AVERAGE(OFFSET($R$3,0,0,'Données projet'!$E$9+1,1))-AVERAGE(OFFSET($H$3,0,0,'Données projet'!$E$9+1,1))</f>
        <v>430.41482167204606</v>
      </c>
      <c r="T63" s="62">
        <f t="shared" si="34"/>
        <v>177.02794100524551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659</v>
      </c>
      <c r="AG63" s="13">
        <f>VLOOKUP(A63,'Données projet'!$A$61:$I$81,9,0)</f>
        <v>17.2</v>
      </c>
      <c r="AH63" s="13">
        <f t="array" ref="AH63">INDEX(AG:AG,MIN(IF(ISNUMBER(AG63:AG259),ROW(AG63:AG259),"")))</f>
        <v>17.2</v>
      </c>
      <c r="AI63" s="14">
        <f>IF('Données projet'!$A$62&gt;35,AI62+AH63-AQ62,IF(A63&lt;'Données projet'!$A$62,$AF$205^A63,IF(A63='Données projet'!$A$62,'Données projet'!$B$62,AI62+AH63-AQ62)))</f>
        <v>659</v>
      </c>
      <c r="AJ63" s="14">
        <f>AI63*VLOOKUP('Données projet'!$B$10,Paramètres!$A$1:$I$89,3,0)*VLOOKUP('Données projet'!$B$10,Paramètres!$A$1:$I$89,5,0)</f>
        <v>368.38100000000003</v>
      </c>
      <c r="AK63" s="14">
        <f t="shared" si="35"/>
        <v>85.33600168406015</v>
      </c>
      <c r="AL63" s="22">
        <f t="shared" si="4"/>
        <v>790.22377793307135</v>
      </c>
      <c r="AM63" s="62">
        <f t="shared" si="5"/>
        <v>1083.5571112664047</v>
      </c>
      <c r="AN63" s="62">
        <f ca="1">AVERAGE(OFFSET($AM$3,0,0,'Données projet'!$E$10+1,1))-AVERAGE(OFFSET($H$3,0,0,'Données projet'!$E$10+1,1))</f>
        <v>507.43397352006832</v>
      </c>
      <c r="AO63" s="62">
        <f t="shared" si="36"/>
        <v>631.65579929520936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64</v>
      </c>
      <c r="AR63" s="17">
        <f>IF(ISNA(VLOOKUP(A63,'Données projet'!$A$61:$I$81,5,0)),0%,VLOOKUP(A63,'Données projet'!$A$61:$I$81,5,0)*VLOOKUP('Données projet'!$B$10,Paramètres!$A$1:$I$89,7,0))</f>
        <v>0.55000000000000004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92.447519702927679</v>
      </c>
      <c r="AV63" s="23">
        <f>EXP(-LN(2)/25)*AV62+(1-EXP(-LN(2)/25))/(LN(2)/25)*Calculateur!AQ63*Calculateur!AS63*VLOOKUP('Données projet'!$B$10,Paramètres!$A$1:$I$89,3,0)*0.475*44/12</f>
        <v>49.398617519756435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141.84613722268412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9.6</v>
      </c>
      <c r="BC63" s="13">
        <f t="array" ref="BC63">INDEX(BB:BB,MIN(IF(ISNUMBER(BB63:BB259),ROW(BB63:BB259),"")))</f>
        <v>9.6</v>
      </c>
      <c r="BD63" s="13">
        <f>IF('Données projet'!$A$88&gt;35,BD62+BC63-BL62,IF(A63&lt;'Données projet'!$A$88,$BA$205^A63,IF(A63='Données projet'!$A$88,'Données projet'!$B$88,BD62+BC63-BL62)))</f>
        <v>310.00000000000023</v>
      </c>
      <c r="BE63" s="14">
        <f>BD63*VLOOKUP('Données projet'!$B$11,Paramètres!$A$1:$I$89,3,0)*VLOOKUP('Données projet'!$B$11,Paramètres!$A$1:$I$89,5,0)</f>
        <v>241.80000000000018</v>
      </c>
      <c r="BF63" s="14">
        <f t="shared" si="37"/>
        <v>58.826640673484889</v>
      </c>
      <c r="BG63" s="22">
        <f t="shared" si="7"/>
        <v>523.59139917298648</v>
      </c>
      <c r="BH63" s="62">
        <f t="shared" si="8"/>
        <v>816.92473250631974</v>
      </c>
      <c r="BI63" s="62">
        <f ca="1">AVERAGE(OFFSET($BH$3,0,0,'Données projet'!$E$11+1,1))-AVERAGE(OFFSET($H$3,0,0,'Données projet'!$E$11+1,1))</f>
        <v>357.65167206083379</v>
      </c>
      <c r="BJ63" s="62">
        <f t="shared" si="38"/>
        <v>341.23389735986342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37</v>
      </c>
      <c r="BM63" s="17">
        <f>IF(ISNA(VLOOKUP(A63,'Données projet'!$A$87:$I$107,5,0)),0%,VLOOKUP(A63,'Données projet'!$A$87:$I$107,5,0)*VLOOKUP('Données projet'!$B$11,Paramètres!$A$1:$I$89,7,0))</f>
        <v>0.215</v>
      </c>
      <c r="BN63" s="17">
        <f>IF(ISNA(VLOOKUP(A63,'Données projet'!$A$87:$I$107,6,0)),0%,VLOOKUP(A63,'Données projet'!$A$87:$I$107,6,0)*VLOOKUP('Données projet'!$B$11,Paramètres!$A$1:$I$89,7,0))</f>
        <v>0.215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19.786019074995377</v>
      </c>
      <c r="BQ63" s="23">
        <f>EXP(-LN(2)/25)*BQ62+(1-EXP(-LN(2)/25))/(LN(2)/25)*Calculateur!BL63*Calculateur!BN63*VLOOKUP('Données projet'!$B$11,Paramètres!$A$1:$I$89,3,0)*0.475*44/12</f>
        <v>27.813958067089903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47.59997714208528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155</v>
      </c>
      <c r="L64" s="13">
        <f>VLOOKUP(A64,'Données projet'!$A$35:$I$55,9,0)</f>
        <v>8.25</v>
      </c>
      <c r="M64" s="13">
        <f t="array" ref="M64">INDEX(L:L,MIN(IF(ISNUMBER(L64:L260),ROW(L64:L260),"")))</f>
        <v>8.25</v>
      </c>
      <c r="N64" s="14">
        <f>IF('Données projet'!$A$36&gt;35,N63+M64-V63,IF(A64&lt;'Données projet'!$A$36,$K$205^A64,IF(A64='Données projet'!$A$36,'Données projet'!$B$36,N63+M64-V63)))</f>
        <v>155.00000000000009</v>
      </c>
      <c r="O64" s="14">
        <f>N64*VLOOKUP('Données projet'!$B$9,Paramètres!$A$1:$I$89,3,0)*VLOOKUP('Données projet'!$B$9,Paramètres!$A$1:$I$89,5,0)</f>
        <v>140.24400000000009</v>
      </c>
      <c r="P64" s="14">
        <f t="shared" si="33"/>
        <v>36.352896802451788</v>
      </c>
      <c r="Q64" s="22">
        <f t="shared" si="53"/>
        <v>307.57292859760366</v>
      </c>
      <c r="R64" s="62">
        <f t="shared" si="0"/>
        <v>600.90626193093703</v>
      </c>
      <c r="S64" s="62">
        <f ca="1">AVERAGE(OFFSET($R$3,0,0,'Données projet'!$E$9+1,1))-AVERAGE(OFFSET($H$3,0,0,'Données projet'!$E$9+1,1))</f>
        <v>430.41482167204606</v>
      </c>
      <c r="T64" s="62">
        <f t="shared" si="34"/>
        <v>177.02794100524551</v>
      </c>
      <c r="U64" s="16">
        <f>IF(ISNA(VLOOKUP(A64,'Données projet'!$A$35:$I$55,3,0)),0,VLOOKUP(A64,'Données projet'!$A$35:$I$55,3,0))</f>
        <v>3</v>
      </c>
      <c r="V64" s="16">
        <f>IF(ISNA(VLOOKUP(A64,'Données projet'!$A$35:$I$55,4,0)),0,VLOOKUP(A64,'Données projet'!$A$35:$I$55,4,0))</f>
        <v>43</v>
      </c>
      <c r="W64" s="17">
        <f>IF(ISNA(VLOOKUP(A64,'Données projet'!$A$35:$I$55,5,0)),0%,VLOOKUP(A64,'Données projet'!$A$35:$I$55,5,0)*VLOOKUP('Données projet'!$B$9,Paramètres!$A$1:$I$89,7,0))</f>
        <v>0.215</v>
      </c>
      <c r="X64" s="17">
        <f>IF(ISNA(VLOOKUP(A64,'Données projet'!$A$35:$I$55,6,0)),0%,VLOOKUP(A64,'Données projet'!$A$35:$I$55,6,0)*VLOOKUP('Données projet'!$B$9,Paramètres!$A$1:$I$89,7,0))</f>
        <v>0.17200000000000001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9.2471226464660656</v>
      </c>
      <c r="AA64" s="23">
        <f>EXP(-LN(2)/25)*AA63+(1-EXP(-LN(2)/25))/(LN(2)/25)*Calculateur!V64*Calculateur!X64*VLOOKUP('Données projet'!$B$9,Paramètres!$A$1:$I$89,3,0)*0.475*44/12</f>
        <v>7.3685705609415741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16.615693207407638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15.2</v>
      </c>
      <c r="AI64" s="14">
        <f>IF('Données projet'!$A$62&gt;35,AI63+AH64-AQ63,IF(A64&lt;'Données projet'!$A$62,$AF$205^A64,IF(A64='Données projet'!$A$62,'Données projet'!$B$62,AI63+AH64-AQ63)))</f>
        <v>610.20000000000005</v>
      </c>
      <c r="AJ64" s="14">
        <f>AI64*VLOOKUP('Données projet'!$B$10,Paramètres!$A$1:$I$89,3,0)*VLOOKUP('Données projet'!$B$10,Paramètres!$A$1:$I$89,5,0)</f>
        <v>341.10180000000003</v>
      </c>
      <c r="AK64" s="14">
        <f t="shared" si="35"/>
        <v>79.727542396163429</v>
      </c>
      <c r="AL64" s="22">
        <f t="shared" si="4"/>
        <v>732.94443800665124</v>
      </c>
      <c r="AM64" s="62">
        <f t="shared" si="5"/>
        <v>1026.2777713399846</v>
      </c>
      <c r="AN64" s="62">
        <f ca="1">AVERAGE(OFFSET($AM$3,0,0,'Données projet'!$E$10+1,1))-AVERAGE(OFFSET($H$3,0,0,'Données projet'!$E$10+1,1))</f>
        <v>507.43397352006832</v>
      </c>
      <c r="AO64" s="62">
        <f t="shared" si="36"/>
        <v>631.65579929520936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90.634680228972485</v>
      </c>
      <c r="AV64" s="23">
        <f>EXP(-LN(2)/25)*AV63+(1-EXP(-LN(2)/25))/(LN(2)/25)*Calculateur!AQ64*Calculateur!AS64*VLOOKUP('Données projet'!$B$10,Paramètres!$A$1:$I$89,3,0)*0.475*44/12</f>
        <v>48.047809725918299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138.6824899548908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9.1999999999999993</v>
      </c>
      <c r="BD64" s="13">
        <f>IF('Données projet'!$A$88&gt;35,BD63+BC64-BL63,IF(A64&lt;'Données projet'!$A$88,$BA$205^A64,IF(A64='Données projet'!$A$88,'Données projet'!$B$88,BD63+BC64-BL63)))</f>
        <v>282.20000000000022</v>
      </c>
      <c r="BE64" s="14">
        <f>BD64*VLOOKUP('Données projet'!$B$11,Paramètres!$A$1:$I$89,3,0)*VLOOKUP('Données projet'!$B$11,Paramètres!$A$1:$I$89,5,0)</f>
        <v>220.11600000000018</v>
      </c>
      <c r="BF64" s="14">
        <f t="shared" si="37"/>
        <v>54.140096973925971</v>
      </c>
      <c r="BG64" s="22">
        <f t="shared" si="7"/>
        <v>477.66270222958809</v>
      </c>
      <c r="BH64" s="62">
        <f t="shared" si="8"/>
        <v>770.99603556292141</v>
      </c>
      <c r="BI64" s="62">
        <f ca="1">AVERAGE(OFFSET($BH$3,0,0,'Données projet'!$E$11+1,1))-AVERAGE(OFFSET($H$3,0,0,'Données projet'!$E$11+1,1))</f>
        <v>357.65167206083379</v>
      </c>
      <c r="BJ64" s="62">
        <f t="shared" si="38"/>
        <v>341.23389735986342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19.398027309214708</v>
      </c>
      <c r="BQ64" s="23">
        <f>EXP(-LN(2)/25)*BQ63+(1-EXP(-LN(2)/25))/(LN(2)/25)*Calculateur!BL64*Calculateur!BN64*VLOOKUP('Données projet'!$B$11,Paramètres!$A$1:$I$89,3,0)*0.475*44/12</f>
        <v>27.053383921072843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46.451411230287547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8.125</v>
      </c>
      <c r="N65" s="14">
        <f>IF('Données projet'!$A$36&gt;35,N64+M65-V64,IF(A65&lt;'Données projet'!$A$36,$K$205^A65,IF(A65='Données projet'!$A$36,'Données projet'!$B$36,N64+M65-V64)))</f>
        <v>120.12500000000009</v>
      </c>
      <c r="O65" s="14">
        <f>N65*VLOOKUP('Données projet'!$B$9,Paramètres!$A$1:$I$89,3,0)*VLOOKUP('Données projet'!$B$9,Paramètres!$A$1:$I$89,5,0)</f>
        <v>108.68910000000007</v>
      </c>
      <c r="P65" s="14">
        <f t="shared" si="33"/>
        <v>29.021911132313864</v>
      </c>
      <c r="Q65" s="22">
        <f t="shared" si="53"/>
        <v>239.84667772211341</v>
      </c>
      <c r="R65" s="62">
        <f t="shared" si="0"/>
        <v>533.1800110554467</v>
      </c>
      <c r="S65" s="62">
        <f ca="1">AVERAGE(OFFSET($R$3,0,0,'Données projet'!$E$9+1,1))-AVERAGE(OFFSET($H$3,0,0,'Données projet'!$E$9+1,1))</f>
        <v>430.41482167204606</v>
      </c>
      <c r="T65" s="62">
        <f t="shared" si="34"/>
        <v>177.02794100524551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9.065792211556758</v>
      </c>
      <c r="AA65" s="23">
        <f>EXP(-LN(2)/25)*AA64+(1-EXP(-LN(2)/25))/(LN(2)/25)*Calculateur!V65*Calculateur!X65*VLOOKUP('Données projet'!$B$9,Paramètres!$A$1:$I$89,3,0)*0.475*44/12</f>
        <v>7.1670766114563422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16.232868823013099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15.2</v>
      </c>
      <c r="AI65" s="14">
        <f>IF('Données projet'!$A$62&gt;35,AI64+AH65-AQ64,IF(A65&lt;'Données projet'!$A$62,$AF$205^A65,IF(A65='Données projet'!$A$62,'Données projet'!$B$62,AI64+AH65-AQ64)))</f>
        <v>625.40000000000009</v>
      </c>
      <c r="AJ65" s="14">
        <f>AI65*VLOOKUP('Données projet'!$B$10,Paramètres!$A$1:$I$89,3,0)*VLOOKUP('Données projet'!$B$10,Paramètres!$A$1:$I$89,5,0)</f>
        <v>349.59860000000003</v>
      </c>
      <c r="AK65" s="14">
        <f t="shared" si="35"/>
        <v>81.479853290144945</v>
      </c>
      <c r="AL65" s="22">
        <f t="shared" si="4"/>
        <v>750.79497281366912</v>
      </c>
      <c r="AM65" s="62">
        <f t="shared" si="5"/>
        <v>1044.1283061470024</v>
      </c>
      <c r="AN65" s="62">
        <f ca="1">AVERAGE(OFFSET($AM$3,0,0,'Données projet'!$E$10+1,1))-AVERAGE(OFFSET($H$3,0,0,'Données projet'!$E$10+1,1))</f>
        <v>507.43397352006832</v>
      </c>
      <c r="AO65" s="62">
        <f t="shared" si="36"/>
        <v>631.65579929520936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88.857389431378664</v>
      </c>
      <c r="AV65" s="23">
        <f>EXP(-LN(2)/25)*AV64+(1-EXP(-LN(2)/25))/(LN(2)/25)*Calculateur!AQ65*Calculateur!AS65*VLOOKUP('Données projet'!$B$10,Paramètres!$A$1:$I$89,3,0)*0.475*44/12</f>
        <v>46.733939842238563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135.59132927361722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9.1999999999999993</v>
      </c>
      <c r="BD65" s="13">
        <f>IF('Données projet'!$A$88&gt;35,BD64+BC65-BL64,IF(A65&lt;'Données projet'!$A$88,$BA$205^A65,IF(A65='Données projet'!$A$88,'Données projet'!$B$88,BD64+BC65-BL64)))</f>
        <v>291.4000000000002</v>
      </c>
      <c r="BE65" s="14">
        <f>BD65*VLOOKUP('Données projet'!$B$11,Paramètres!$A$1:$I$89,3,0)*VLOOKUP('Données projet'!$B$11,Paramètres!$A$1:$I$89,5,0)</f>
        <v>227.29200000000017</v>
      </c>
      <c r="BF65" s="14">
        <f t="shared" si="37"/>
        <v>55.696745617483749</v>
      </c>
      <c r="BG65" s="22">
        <f t="shared" si="7"/>
        <v>492.87206528378442</v>
      </c>
      <c r="BH65" s="62">
        <f t="shared" si="8"/>
        <v>786.20539861711768</v>
      </c>
      <c r="BI65" s="62">
        <f ca="1">AVERAGE(OFFSET($BH$3,0,0,'Données projet'!$E$11+1,1))-AVERAGE(OFFSET($H$3,0,0,'Données projet'!$E$11+1,1))</f>
        <v>357.65167206083379</v>
      </c>
      <c r="BJ65" s="62">
        <f t="shared" si="38"/>
        <v>341.23389735986342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19.017643825309388</v>
      </c>
      <c r="BQ65" s="23">
        <f>EXP(-LN(2)/25)*BQ64+(1-EXP(-LN(2)/25))/(LN(2)/25)*Calculateur!BL65*Calculateur!BN65*VLOOKUP('Données projet'!$B$11,Paramètres!$A$1:$I$89,3,0)*0.475*44/12</f>
        <v>26.313607715075477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45.331251540384869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8.125</v>
      </c>
      <c r="N66" s="14">
        <f>IF('Données projet'!$A$36&gt;35,N65+M66-V65,IF(A66&lt;'Données projet'!$A$36,$K$205^A66,IF(A66='Données projet'!$A$36,'Données projet'!$B$36,N65+M66-V65)))</f>
        <v>128.25000000000009</v>
      </c>
      <c r="O66" s="14">
        <f>N66*VLOOKUP('Données projet'!$B$9,Paramètres!$A$1:$I$89,3,0)*VLOOKUP('Données projet'!$B$9,Paramètres!$A$1:$I$89,5,0)</f>
        <v>116.04060000000008</v>
      </c>
      <c r="P66" s="14">
        <f t="shared" si="33"/>
        <v>30.749738764521013</v>
      </c>
      <c r="Q66" s="22">
        <f t="shared" si="53"/>
        <v>255.65984001487422</v>
      </c>
      <c r="R66" s="62">
        <f t="shared" si="0"/>
        <v>548.99317334820751</v>
      </c>
      <c r="S66" s="62">
        <f ca="1">AVERAGE(OFFSET($R$3,0,0,'Données projet'!$E$9+1,1))-AVERAGE(OFFSET($H$3,0,0,'Données projet'!$E$9+1,1))</f>
        <v>430.41482167204606</v>
      </c>
      <c r="T66" s="62">
        <f t="shared" si="34"/>
        <v>177.02794100524551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8.8880175558753773</v>
      </c>
      <c r="AA66" s="23">
        <f>EXP(-LN(2)/25)*AA65+(1-EXP(-LN(2)/25))/(LN(2)/25)*Calculateur!V66*Calculateur!X66*VLOOKUP('Données projet'!$B$9,Paramètres!$A$1:$I$89,3,0)*0.475*44/12</f>
        <v>6.9710925246158899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15.859110080491266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15.2</v>
      </c>
      <c r="AI66" s="14">
        <f>IF('Données projet'!$A$62&gt;35,AI65+AH66-AQ65,IF(A66&lt;'Données projet'!$A$62,$AF$205^A66,IF(A66='Données projet'!$A$62,'Données projet'!$B$62,AI65+AH66-AQ65)))</f>
        <v>640.60000000000014</v>
      </c>
      <c r="AJ66" s="14">
        <f>AI66*VLOOKUP('Données projet'!$B$10,Paramètres!$A$1:$I$89,3,0)*VLOOKUP('Données projet'!$B$10,Paramètres!$A$1:$I$89,5,0)</f>
        <v>358.09540000000004</v>
      </c>
      <c r="AK66" s="14">
        <f t="shared" si="35"/>
        <v>83.227213321573885</v>
      </c>
      <c r="AL66" s="22">
        <f t="shared" si="4"/>
        <v>768.63688486840795</v>
      </c>
      <c r="AM66" s="62">
        <f t="shared" si="5"/>
        <v>1061.9702182017413</v>
      </c>
      <c r="AN66" s="62">
        <f ca="1">AVERAGE(OFFSET($AM$3,0,0,'Données projet'!$E$10+1,1))-AVERAGE(OFFSET($H$3,0,0,'Données projet'!$E$10+1,1))</f>
        <v>507.43397352006832</v>
      </c>
      <c r="AO66" s="62">
        <f t="shared" si="36"/>
        <v>631.65579929520936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87.114950222285302</v>
      </c>
      <c r="AV66" s="23">
        <f>EXP(-LN(2)/25)*AV65+(1-EXP(-LN(2)/25))/(LN(2)/25)*Calculateur!AQ66*Calculateur!AS66*VLOOKUP('Données projet'!$B$10,Paramètres!$A$1:$I$89,3,0)*0.475*44/12</f>
        <v>45.455997799621464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132.57094802190676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9.1999999999999993</v>
      </c>
      <c r="BD66" s="13">
        <f>IF('Données projet'!$A$88&gt;35,BD65+BC66-BL65,IF(A66&lt;'Données projet'!$A$88,$BA$205^A66,IF(A66='Données projet'!$A$88,'Données projet'!$B$88,BD65+BC66-BL65)))</f>
        <v>300.60000000000019</v>
      </c>
      <c r="BE66" s="14">
        <f>BD66*VLOOKUP('Données projet'!$B$11,Paramètres!$A$1:$I$89,3,0)*VLOOKUP('Données projet'!$B$11,Paramètres!$A$1:$I$89,5,0)</f>
        <v>234.46800000000016</v>
      </c>
      <c r="BF66" s="14">
        <f t="shared" si="37"/>
        <v>57.247683153605443</v>
      </c>
      <c r="BG66" s="22">
        <f t="shared" si="7"/>
        <v>508.07148149252976</v>
      </c>
      <c r="BH66" s="62">
        <f t="shared" si="8"/>
        <v>801.40481482586301</v>
      </c>
      <c r="BI66" s="62">
        <f ca="1">AVERAGE(OFFSET($BH$3,0,0,'Données projet'!$E$11+1,1))-AVERAGE(OFFSET($H$3,0,0,'Données projet'!$E$11+1,1))</f>
        <v>357.65167206083379</v>
      </c>
      <c r="BJ66" s="62">
        <f t="shared" si="38"/>
        <v>341.23389735986342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18.644719429512438</v>
      </c>
      <c r="BQ66" s="23">
        <f>EXP(-LN(2)/25)*BQ65+(1-EXP(-LN(2)/25))/(LN(2)/25)*Calculateur!BL66*Calculateur!BN66*VLOOKUP('Données projet'!$B$11,Paramètres!$A$1:$I$89,3,0)*0.475*44/12</f>
        <v>25.594060728334249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44.238780157846691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8.125</v>
      </c>
      <c r="N67" s="14">
        <f>IF('Données projet'!$A$36&gt;35,N66+M67-V66,IF(A67&lt;'Données projet'!$A$36,$K$205^A67,IF(A67='Données projet'!$A$36,'Données projet'!$B$36,N66+M67-V66)))</f>
        <v>136.37500000000009</v>
      </c>
      <c r="O67" s="14">
        <f>N67*VLOOKUP('Données projet'!$B$9,Paramètres!$A$1:$I$89,3,0)*VLOOKUP('Données projet'!$B$9,Paramètres!$A$1:$I$89,5,0)</f>
        <v>123.39210000000007</v>
      </c>
      <c r="P67" s="14">
        <f t="shared" si="33"/>
        <v>32.464862827214183</v>
      </c>
      <c r="Q67" s="22">
        <f t="shared" ref="Q67:Q98" si="54">(O67+P67)*0.475*44/12</f>
        <v>271.45087692406486</v>
      </c>
      <c r="R67" s="62">
        <f t="shared" ref="R67:R130" si="55">Q67+(I67+J67)*44/12</f>
        <v>564.78421025739817</v>
      </c>
      <c r="S67" s="62">
        <f ca="1">AVERAGE(OFFSET($R$3,0,0,'Données projet'!$E$9+1,1))-AVERAGE(OFFSET($H$3,0,0,'Données projet'!$E$9+1,1))</f>
        <v>430.41482167204606</v>
      </c>
      <c r="T67" s="62">
        <f t="shared" si="34"/>
        <v>177.02794100524551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8.713728952760075</v>
      </c>
      <c r="AA67" s="23">
        <f>EXP(-LN(2)/25)*AA66+(1-EXP(-LN(2)/25))/(LN(2)/25)*Calculateur!V67*Calculateur!X67*VLOOKUP('Données projet'!$B$9,Paramètres!$A$1:$I$89,3,0)*0.475*44/12</f>
        <v>6.7804676329364453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15.494196585696521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15.2</v>
      </c>
      <c r="AI67" s="14">
        <f>IF('Données projet'!$A$62&gt;35,AI66+AH67-AQ66,IF(A67&lt;'Données projet'!$A$62,$AF$205^A67,IF(A67='Données projet'!$A$62,'Données projet'!$B$62,AI66+AH67-AQ66)))</f>
        <v>655.80000000000018</v>
      </c>
      <c r="AJ67" s="14">
        <f>AI67*VLOOKUP('Données projet'!$B$10,Paramètres!$A$1:$I$89,3,0)*VLOOKUP('Données projet'!$B$10,Paramètres!$A$1:$I$89,5,0)</f>
        <v>366.5922000000001</v>
      </c>
      <c r="AK67" s="14">
        <f t="shared" si="35"/>
        <v>84.969753481055093</v>
      </c>
      <c r="AL67" s="22">
        <f t="shared" si="4"/>
        <v>786.47040231283779</v>
      </c>
      <c r="AM67" s="62">
        <f t="shared" si="5"/>
        <v>1079.8037356461712</v>
      </c>
      <c r="AN67" s="62">
        <f ca="1">AVERAGE(OFFSET($AM$3,0,0,'Données projet'!$E$10+1,1))-AVERAGE(OFFSET($H$3,0,0,'Données projet'!$E$10+1,1))</f>
        <v>507.43397352006832</v>
      </c>
      <c r="AO67" s="62">
        <f t="shared" si="36"/>
        <v>631.65579929520936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85.406679183299289</v>
      </c>
      <c r="AV67" s="23">
        <f>EXP(-LN(2)/25)*AV66+(1-EXP(-LN(2)/25))/(LN(2)/25)*Calculateur!AQ67*Calculateur!AS67*VLOOKUP('Données projet'!$B$10,Paramètres!$A$1:$I$89,3,0)*0.475*44/12</f>
        <v>44.213001149363784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129.61968033266308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9.1999999999999993</v>
      </c>
      <c r="BD67" s="13">
        <f>IF('Données projet'!$A$88&gt;35,BD66+BC67-BL66,IF(A67&lt;'Données projet'!$A$88,$BA$205^A67,IF(A67='Données projet'!$A$88,'Données projet'!$B$88,BD66+BC67-BL66)))</f>
        <v>309.80000000000018</v>
      </c>
      <c r="BE67" s="14">
        <f>BD67*VLOOKUP('Données projet'!$B$11,Paramètres!$A$1:$I$89,3,0)*VLOOKUP('Données projet'!$B$11,Paramètres!$A$1:$I$89,5,0)</f>
        <v>241.64400000000015</v>
      </c>
      <c r="BF67" s="14">
        <f t="shared" si="37"/>
        <v>58.793104433546993</v>
      </c>
      <c r="BG67" s="22">
        <f t="shared" si="7"/>
        <v>523.26129022176121</v>
      </c>
      <c r="BH67" s="62">
        <f t="shared" si="8"/>
        <v>816.59462355509459</v>
      </c>
      <c r="BI67" s="62">
        <f ca="1">AVERAGE(OFFSET($BH$3,0,0,'Données projet'!$E$11+1,1))-AVERAGE(OFFSET($H$3,0,0,'Données projet'!$E$11+1,1))</f>
        <v>357.65167206083379</v>
      </c>
      <c r="BJ67" s="62">
        <f t="shared" si="38"/>
        <v>341.23389735986342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18.279107853655645</v>
      </c>
      <c r="BQ67" s="23">
        <f>EXP(-LN(2)/25)*BQ66+(1-EXP(-LN(2)/25))/(LN(2)/25)*Calculateur!BL67*Calculateur!BN67*VLOOKUP('Données projet'!$B$11,Paramètres!$A$1:$I$89,3,0)*0.475*44/12</f>
        <v>24.89418979178479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43.173297645440435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8.125</v>
      </c>
      <c r="N68" s="14">
        <f>IF('Données projet'!$A$36&gt;35,N67+M68-V67,IF(A68&lt;'Données projet'!$A$36,$K$205^A68,IF(A68='Données projet'!$A$36,'Données projet'!$B$36,N67+M68-V67)))</f>
        <v>144.50000000000009</v>
      </c>
      <c r="O68" s="14">
        <f>N68*VLOOKUP('Données projet'!$B$9,Paramètres!$A$1:$I$89,3,0)*VLOOKUP('Données projet'!$B$9,Paramètres!$A$1:$I$89,5,0)</f>
        <v>130.74360000000007</v>
      </c>
      <c r="P68" s="14">
        <f t="shared" si="33"/>
        <v>34.168126380168069</v>
      </c>
      <c r="Q68" s="22">
        <f t="shared" si="54"/>
        <v>287.22125677879279</v>
      </c>
      <c r="R68" s="62">
        <f t="shared" si="55"/>
        <v>580.55459011212611</v>
      </c>
      <c r="S68" s="62">
        <f ca="1">AVERAGE(OFFSET($R$3,0,0,'Données projet'!$E$9+1,1))-AVERAGE(OFFSET($H$3,0,0,'Données projet'!$E$9+1,1))</f>
        <v>430.41482167204606</v>
      </c>
      <c r="T68" s="62">
        <f t="shared" si="34"/>
        <v>177.02794100524551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8.5428580428463139</v>
      </c>
      <c r="AA68" s="23">
        <f>EXP(-LN(2)/25)*AA67+(1-EXP(-LN(2)/25))/(LN(2)/25)*Calculateur!V68*Calculateur!X68*VLOOKUP('Données projet'!$B$9,Paramètres!$A$1:$I$89,3,0)*0.475*44/12</f>
        <v>6.5950553889445027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15.137913431790817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671</v>
      </c>
      <c r="AG68" s="13">
        <f>VLOOKUP(A68,'Données projet'!$A$61:$I$81,9,0)</f>
        <v>15.2</v>
      </c>
      <c r="AH68" s="13">
        <f t="array" ref="AH68">INDEX(AG:AG,MIN(IF(ISNUMBER(AG68:AG264),ROW(AG68:AG264),"")))</f>
        <v>15.2</v>
      </c>
      <c r="AI68" s="14">
        <f>IF('Données projet'!$A$62&gt;35,AI67+AH68-AQ67,IF(A68&lt;'Données projet'!$A$62,$AF$205^A68,IF(A68='Données projet'!$A$62,'Données projet'!$B$62,AI67+AH68-AQ67)))</f>
        <v>671.00000000000023</v>
      </c>
      <c r="AJ68" s="14">
        <f>AI68*VLOOKUP('Données projet'!$B$10,Paramètres!$A$1:$I$89,3,0)*VLOOKUP('Données projet'!$B$10,Paramètres!$A$1:$I$89,5,0)</f>
        <v>375.08900000000011</v>
      </c>
      <c r="AK68" s="14">
        <f t="shared" si="35"/>
        <v>86.707598340577192</v>
      </c>
      <c r="AL68" s="22">
        <f t="shared" ref="AL68:AL131" si="58">(AJ68+AK68)*0.475*44/12</f>
        <v>804.29574210983867</v>
      </c>
      <c r="AM68" s="62">
        <f t="shared" ref="AM68:AM131" si="59">AL68+(AD68+AE68)*44/12</f>
        <v>1097.629075443172</v>
      </c>
      <c r="AN68" s="62">
        <f ca="1">AVERAGE(OFFSET($AM$3,0,0,'Données projet'!$E$10+1,1))-AVERAGE(OFFSET($H$3,0,0,'Données projet'!$E$10+1,1))</f>
        <v>507.43397352006832</v>
      </c>
      <c r="AO68" s="62">
        <f t="shared" si="36"/>
        <v>631.65579929520936</v>
      </c>
      <c r="AP68" s="16" t="str">
        <f>IF(ISNA(VLOOKUP(A68,'Données projet'!$A$61:$I$81,3,0)),0,VLOOKUP(A68,'Données projet'!$A$61:$I$81,3,0))</f>
        <v>CR</v>
      </c>
      <c r="AQ68" s="16">
        <f>IF(ISNA(VLOOKUP(A68,'Données projet'!$A$61:$I$81,4,0)),0,VLOOKUP(A68,'Données projet'!$A$61:$I$81,4,0))</f>
        <v>671</v>
      </c>
      <c r="AR68" s="17">
        <f>IF(ISNA(VLOOKUP(A68,'Données projet'!$A$61:$I$81,5,0)),0%,VLOOKUP(A68,'Données projet'!$A$61:$I$81,5,0)*VLOOKUP('Données projet'!$B$10,Paramètres!$A$1:$I$89,7,0))</f>
        <v>0.55000000000000004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357.40076056194431</v>
      </c>
      <c r="AV68" s="23">
        <f>EXP(-LN(2)/25)*AV67+(1-EXP(-LN(2)/25))/(LN(2)/25)*Calculateur!AQ68*Calculateur!AS68*VLOOKUP('Données projet'!$B$10,Paramètres!$A$1:$I$89,3,0)*0.475*44/12</f>
        <v>43.003994307873754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400.40475486981808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319</v>
      </c>
      <c r="BB68" s="13">
        <f>VLOOKUP(A68,'Données projet'!$A$87:$I$107,9,0)</f>
        <v>9.1999999999999993</v>
      </c>
      <c r="BC68" s="13">
        <f t="array" ref="BC68">INDEX(BB:BB,MIN(IF(ISNUMBER(BB68:BB264),ROW(BB68:BB264),"")))</f>
        <v>9.1999999999999993</v>
      </c>
      <c r="BD68" s="13">
        <f>IF('Données projet'!$A$88&gt;35,BD67+BC68-BL67,IF(A68&lt;'Données projet'!$A$88,$BA$205^A68,IF(A68='Données projet'!$A$88,'Données projet'!$B$88,BD67+BC68-BL67)))</f>
        <v>319.00000000000017</v>
      </c>
      <c r="BE68" s="14">
        <f>BD68*VLOOKUP('Données projet'!$B$11,Paramètres!$A$1:$I$89,3,0)*VLOOKUP('Données projet'!$B$11,Paramètres!$A$1:$I$89,5,0)</f>
        <v>248.82000000000014</v>
      </c>
      <c r="BF68" s="14">
        <f t="shared" si="37"/>
        <v>60.333192077890068</v>
      </c>
      <c r="BG68" s="22">
        <f t="shared" ref="BG68:BG131" si="61">(BE68+BF68)*0.475*44/12</f>
        <v>538.44180953565876</v>
      </c>
      <c r="BH68" s="62">
        <f t="shared" ref="BH68:BH131" si="62">BG68+(AY68+AZ68)*44/12</f>
        <v>831.77514286899213</v>
      </c>
      <c r="BI68" s="62">
        <f ca="1">AVERAGE(OFFSET($BH$3,0,0,'Données projet'!$E$11+1,1))-AVERAGE(OFFSET($H$3,0,0,'Données projet'!$E$11+1,1))</f>
        <v>357.65167206083379</v>
      </c>
      <c r="BJ68" s="62">
        <f t="shared" si="38"/>
        <v>341.23389735986342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37</v>
      </c>
      <c r="BM68" s="17">
        <f>IF(ISNA(VLOOKUP(A68,'Données projet'!$A$87:$I$107,5,0)),0%,VLOOKUP(A68,'Données projet'!$A$87:$I$107,5,0)*VLOOKUP('Données projet'!$B$11,Paramètres!$A$1:$I$89,7,0))</f>
        <v>0.215</v>
      </c>
      <c r="BN68" s="17">
        <f>IF(ISNA(VLOOKUP(A68,'Données projet'!$A$87:$I$107,6,0)),0%,VLOOKUP(A68,'Données projet'!$A$87:$I$107,6,0)*VLOOKUP('Données projet'!$B$11,Paramètres!$A$1:$I$89,7,0))</f>
        <v>0.215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24.779998855764365</v>
      </c>
      <c r="BQ68" s="23">
        <f>EXP(-LN(2)/25)*BQ67+(1-EXP(-LN(2)/25))/(LN(2)/25)*Calculateur!BL68*Calculateur!BN68*VLOOKUP('Données projet'!$B$11,Paramètres!$A$1:$I$89,3,0)*0.475*44/12</f>
        <v>31.045782212510151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55.825781068274516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8.125</v>
      </c>
      <c r="N69" s="14">
        <f>IF('Données projet'!$A$36&gt;35,N68+M69-V68,IF(A69&lt;'Données projet'!$A$36,$K$205^A69,IF(A69='Données projet'!$A$36,'Données projet'!$B$36,N68+M69-V68)))</f>
        <v>152.62500000000009</v>
      </c>
      <c r="O69" s="14">
        <f>N69*VLOOKUP('Données projet'!$B$9,Paramètres!$A$1:$I$89,3,0)*VLOOKUP('Données projet'!$B$9,Paramètres!$A$1:$I$89,5,0)</f>
        <v>138.09510000000006</v>
      </c>
      <c r="P69" s="14">
        <f t="shared" ref="P69:P132" si="87">EXP(-1.0587+0.8836*LN(O69)+0.284)</f>
        <v>35.86027232062898</v>
      </c>
      <c r="Q69" s="22">
        <f t="shared" si="54"/>
        <v>302.9722734584289</v>
      </c>
      <c r="R69" s="62">
        <f t="shared" si="55"/>
        <v>596.30560679176222</v>
      </c>
      <c r="S69" s="62">
        <f ca="1">AVERAGE(OFFSET($R$3,0,0,'Données projet'!$E$9+1,1))-AVERAGE(OFFSET($H$3,0,0,'Données projet'!$E$9+1,1))</f>
        <v>430.41482167204606</v>
      </c>
      <c r="T69" s="62">
        <f t="shared" ref="T69:T132" si="88">$T$3</f>
        <v>177.02794100524551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8.3753378072549971</v>
      </c>
      <c r="AA69" s="23">
        <f>EXP(-LN(2)/25)*AA68+(1-EXP(-LN(2)/25))/(LN(2)/25)*Calculateur!V69*Calculateur!X69*VLOOKUP('Données projet'!$B$9,Paramètres!$A$1:$I$89,3,0)*0.475*44/12</f>
        <v>6.4147132525149253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14.790051059769922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2.2737367544323206E-13</v>
      </c>
      <c r="AJ69" s="14">
        <f>AI69*VLOOKUP('Données projet'!$B$10,Paramètres!$A$1:$I$89,3,0)*VLOOKUP('Données projet'!$B$10,Paramètres!$A$1:$I$89,5,0)</f>
        <v>1.2710188457276673E-13</v>
      </c>
      <c r="AK69" s="14">
        <f t="shared" ref="AK69:AK132" si="89">EXP(-1.0587+0.8836*LN(AJ69)+0.284)</f>
        <v>1.856866851063998E-12</v>
      </c>
      <c r="AL69" s="22">
        <f t="shared" si="58"/>
        <v>3.4554122145673649E-12</v>
      </c>
      <c r="AM69" s="62">
        <f t="shared" si="59"/>
        <v>293.33333333333678</v>
      </c>
      <c r="AN69" s="62">
        <f ca="1">AVERAGE(OFFSET($AM$3,0,0,'Données projet'!$E$10+1,1))-AVERAGE(OFFSET($H$3,0,0,'Données projet'!$E$10+1,1))</f>
        <v>507.43397352006832</v>
      </c>
      <c r="AO69" s="62">
        <f t="shared" ref="AO69:AO132" si="90">$AO$3</f>
        <v>631.65579929520936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350.39234964026349</v>
      </c>
      <c r="AV69" s="23">
        <f>EXP(-LN(2)/25)*AV68+(1-EXP(-LN(2)/25))/(LN(2)/25)*Calculateur!AQ69*Calculateur!AS69*VLOOKUP('Données projet'!$B$10,Paramètres!$A$1:$I$89,3,0)*0.475*44/12</f>
        <v>41.828047822043175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392.22039746230666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</v>
      </c>
      <c r="BD69" s="13">
        <f>IF('Données projet'!$A$88&gt;35,BD68+BC69-BL68,IF(A69&lt;'Données projet'!$A$88,$BA$205^A69,IF(A69='Données projet'!$A$88,'Données projet'!$B$88,BD68+BC69-BL68)))</f>
        <v>291.00000000000017</v>
      </c>
      <c r="BE69" s="14">
        <f>BD69*VLOOKUP('Données projet'!$B$11,Paramètres!$A$1:$I$89,3,0)*VLOOKUP('Données projet'!$B$11,Paramètres!$A$1:$I$89,5,0)</f>
        <v>226.98000000000013</v>
      </c>
      <c r="BF69" s="14">
        <f t="shared" ref="BF69:BF132" si="91">EXP(-1.0587+0.8836*LN(BE69)+0.284)</f>
        <v>55.629185455335978</v>
      </c>
      <c r="BG69" s="22">
        <f t="shared" si="61"/>
        <v>492.21099800137699</v>
      </c>
      <c r="BH69" s="62">
        <f t="shared" si="62"/>
        <v>785.54433133471025</v>
      </c>
      <c r="BI69" s="62">
        <f ca="1">AVERAGE(OFFSET($BH$3,0,0,'Données projet'!$E$11+1,1))-AVERAGE(OFFSET($H$3,0,0,'Données projet'!$E$11+1,1))</f>
        <v>357.65167206083379</v>
      </c>
      <c r="BJ69" s="62">
        <f t="shared" ref="BJ69:BJ132" si="92">$BJ$3</f>
        <v>341.23389735986342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24.294078192509716</v>
      </c>
      <c r="BQ69" s="23">
        <f>EXP(-LN(2)/25)*BQ68+(1-EXP(-LN(2)/25))/(LN(2)/25)*Calculateur!BL69*Calculateur!BN69*VLOOKUP('Données projet'!$B$11,Paramètres!$A$1:$I$89,3,0)*0.475*44/12</f>
        <v>30.19683366528233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54.490911857792042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8.125</v>
      </c>
      <c r="N70" s="14">
        <f>IF('Données projet'!$A$36&gt;35,N69+M70-V69,IF(A70&lt;'Données projet'!$A$36,$K$205^A70,IF(A70='Données projet'!$A$36,'Données projet'!$B$36,N69+M70-V69)))</f>
        <v>160.75000000000009</v>
      </c>
      <c r="O70" s="14">
        <f>N70*VLOOKUP('Données projet'!$B$9,Paramètres!$A$1:$I$89,3,0)*VLOOKUP('Données projet'!$B$9,Paramètres!$A$1:$I$89,5,0)</f>
        <v>145.44660000000007</v>
      </c>
      <c r="P70" s="14">
        <f t="shared" si="87"/>
        <v>37.541959982235134</v>
      </c>
      <c r="Q70" s="22">
        <f t="shared" si="54"/>
        <v>318.70507530239303</v>
      </c>
      <c r="R70" s="62">
        <f t="shared" si="55"/>
        <v>612.03840863572634</v>
      </c>
      <c r="S70" s="62">
        <f ca="1">AVERAGE(OFFSET($R$3,0,0,'Données projet'!$E$9+1,1))-AVERAGE(OFFSET($H$3,0,0,'Données projet'!$E$9+1,1))</f>
        <v>430.41482167204606</v>
      </c>
      <c r="T70" s="62">
        <f t="shared" si="88"/>
        <v>177.02794100524551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8.2111025413063707</v>
      </c>
      <c r="AA70" s="23">
        <f>EXP(-LN(2)/25)*AA69+(1-EXP(-LN(2)/25))/(LN(2)/25)*Calculateur!V70*Calculateur!X70*VLOOKUP('Données projet'!$B$9,Paramètres!$A$1:$I$89,3,0)*0.475*44/12</f>
        <v>6.2393025812897953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14.450405122596166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2.2737367544323206E-13</v>
      </c>
      <c r="AJ70" s="14">
        <f>AI70*VLOOKUP('Données projet'!$B$10,Paramètres!$A$1:$I$89,3,0)*VLOOKUP('Données projet'!$B$10,Paramètres!$A$1:$I$89,5,0)</f>
        <v>1.2710188457276673E-13</v>
      </c>
      <c r="AK70" s="14">
        <f t="shared" si="89"/>
        <v>1.856866851063998E-12</v>
      </c>
      <c r="AL70" s="22">
        <f t="shared" si="58"/>
        <v>3.4554122145673649E-12</v>
      </c>
      <c r="AM70" s="62">
        <f t="shared" si="59"/>
        <v>293.33333333333678</v>
      </c>
      <c r="AN70" s="62">
        <f ca="1">AVERAGE(OFFSET($AM$3,0,0,'Données projet'!$E$10+1,1))-AVERAGE(OFFSET($H$3,0,0,'Données projet'!$E$10+1,1))</f>
        <v>507.43397352006832</v>
      </c>
      <c r="AO70" s="62">
        <f t="shared" si="90"/>
        <v>631.65579929520936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343.52136938204831</v>
      </c>
      <c r="AV70" s="23">
        <f>EXP(-LN(2)/25)*AV69+(1-EXP(-LN(2)/25))/(LN(2)/25)*Calculateur!AQ70*Calculateur!AS70*VLOOKUP('Données projet'!$B$10,Paramètres!$A$1:$I$89,3,0)*0.475*44/12</f>
        <v>40.68425765470797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384.20562703675625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</v>
      </c>
      <c r="BD70" s="13">
        <f>IF('Données projet'!$A$88&gt;35,BD69+BC70-BL69,IF(A70&lt;'Données projet'!$A$88,$BA$205^A70,IF(A70='Données projet'!$A$88,'Données projet'!$B$88,BD69+BC70-BL69)))</f>
        <v>300.00000000000017</v>
      </c>
      <c r="BE70" s="14">
        <f>BD70*VLOOKUP('Données projet'!$B$11,Paramètres!$A$1:$I$89,3,0)*VLOOKUP('Données projet'!$B$11,Paramètres!$A$1:$I$89,5,0)</f>
        <v>234.00000000000014</v>
      </c>
      <c r="BF70" s="14">
        <f t="shared" si="91"/>
        <v>57.14670524255714</v>
      </c>
      <c r="BG70" s="22">
        <f t="shared" si="61"/>
        <v>507.08051163078727</v>
      </c>
      <c r="BH70" s="62">
        <f t="shared" si="62"/>
        <v>800.41384496412059</v>
      </c>
      <c r="BI70" s="62">
        <f ca="1">AVERAGE(OFFSET($BH$3,0,0,'Données projet'!$E$11+1,1))-AVERAGE(OFFSET($H$3,0,0,'Données projet'!$E$11+1,1))</f>
        <v>357.65167206083379</v>
      </c>
      <c r="BJ70" s="62">
        <f t="shared" si="92"/>
        <v>341.23389735986342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23.81768613707915</v>
      </c>
      <c r="BQ70" s="23">
        <f>EXP(-LN(2)/25)*BQ69+(1-EXP(-LN(2)/25))/(LN(2)/25)*Calculateur!BL70*Calculateur!BN70*VLOOKUP('Données projet'!$B$11,Paramètres!$A$1:$I$89,3,0)*0.475*44/12</f>
        <v>29.37109966072272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53.18878579780187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8.125</v>
      </c>
      <c r="N71" s="14">
        <f>IF('Données projet'!$A$36&gt;35,N70+M71-V70,IF(A71&lt;'Données projet'!$A$36,$K$205^A71,IF(A71='Données projet'!$A$36,'Données projet'!$B$36,N70+M71-V70)))</f>
        <v>168.87500000000009</v>
      </c>
      <c r="O71" s="14">
        <f>N71*VLOOKUP('Données projet'!$B$9,Paramètres!$A$1:$I$89,3,0)*VLOOKUP('Données projet'!$B$9,Paramètres!$A$1:$I$89,5,0)</f>
        <v>152.79810000000009</v>
      </c>
      <c r="P71" s="14">
        <f t="shared" si="87"/>
        <v>39.213778282570935</v>
      </c>
      <c r="Q71" s="22">
        <f t="shared" si="54"/>
        <v>334.42068800881117</v>
      </c>
      <c r="R71" s="62">
        <f t="shared" si="55"/>
        <v>627.75402134214448</v>
      </c>
      <c r="S71" s="62">
        <f ca="1">AVERAGE(OFFSET($R$3,0,0,'Données projet'!$E$9+1,1))-AVERAGE(OFFSET($H$3,0,0,'Données projet'!$E$9+1,1))</f>
        <v>430.41482167204606</v>
      </c>
      <c r="T71" s="62">
        <f t="shared" si="88"/>
        <v>177.02794100524551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8.0500878287493762</v>
      </c>
      <c r="AA71" s="23">
        <f>EXP(-LN(2)/25)*AA70+(1-EXP(-LN(2)/25))/(LN(2)/25)*Calculateur!V71*Calculateur!X71*VLOOKUP('Données projet'!$B$9,Paramètres!$A$1:$I$89,3,0)*0.475*44/12</f>
        <v>6.0686885240937629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14.118776352843138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2.2737367544323206E-13</v>
      </c>
      <c r="AJ71" s="14">
        <f>AI71*VLOOKUP('Données projet'!$B$10,Paramètres!$A$1:$I$89,3,0)*VLOOKUP('Données projet'!$B$10,Paramètres!$A$1:$I$89,5,0)</f>
        <v>1.2710188457276673E-13</v>
      </c>
      <c r="AK71" s="14">
        <f t="shared" si="89"/>
        <v>1.856866851063998E-12</v>
      </c>
      <c r="AL71" s="22">
        <f t="shared" si="58"/>
        <v>3.4554122145673649E-12</v>
      </c>
      <c r="AM71" s="62">
        <f t="shared" si="59"/>
        <v>293.33333333333678</v>
      </c>
      <c r="AN71" s="62">
        <f ca="1">AVERAGE(OFFSET($AM$3,0,0,'Données projet'!$E$10+1,1))-AVERAGE(OFFSET($H$3,0,0,'Données projet'!$E$10+1,1))</f>
        <v>507.43397352006832</v>
      </c>
      <c r="AO71" s="62">
        <f t="shared" si="90"/>
        <v>631.65579929520936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336.78512485581257</v>
      </c>
      <c r="AV71" s="23">
        <f>EXP(-LN(2)/25)*AV70+(1-EXP(-LN(2)/25))/(LN(2)/25)*Calculateur!AQ71*Calculateur!AS71*VLOOKUP('Données projet'!$B$10,Paramètres!$A$1:$I$89,3,0)*0.475*44/12</f>
        <v>39.571744489647855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376.35686934546044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</v>
      </c>
      <c r="BD71" s="13">
        <f>IF('Données projet'!$A$88&gt;35,BD70+BC71-BL70,IF(A71&lt;'Données projet'!$A$88,$BA$205^A71,IF(A71='Données projet'!$A$88,'Données projet'!$B$88,BD70+BC71-BL70)))</f>
        <v>309.00000000000017</v>
      </c>
      <c r="BE71" s="14">
        <f>BD71*VLOOKUP('Données projet'!$B$11,Paramètres!$A$1:$I$89,3,0)*VLOOKUP('Données projet'!$B$11,Paramètres!$A$1:$I$89,5,0)</f>
        <v>241.02000000000015</v>
      </c>
      <c r="BF71" s="14">
        <f t="shared" si="91"/>
        <v>58.658934253765338</v>
      </c>
      <c r="BG71" s="22">
        <f t="shared" si="61"/>
        <v>521.94081049197484</v>
      </c>
      <c r="BH71" s="62">
        <f t="shared" si="62"/>
        <v>815.2741438253081</v>
      </c>
      <c r="BI71" s="62">
        <f ca="1">AVERAGE(OFFSET($BH$3,0,0,'Données projet'!$E$11+1,1))-AVERAGE(OFFSET($H$3,0,0,'Données projet'!$E$11+1,1))</f>
        <v>357.65167206083379</v>
      </c>
      <c r="BJ71" s="62">
        <f t="shared" si="92"/>
        <v>341.23389735986342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23.350635839285115</v>
      </c>
      <c r="BQ71" s="23">
        <f>EXP(-LN(2)/25)*BQ70+(1-EXP(-LN(2)/25))/(LN(2)/25)*Calculateur!BL71*Calculateur!BN71*VLOOKUP('Données projet'!$B$11,Paramètres!$A$1:$I$89,3,0)*0.475*44/12</f>
        <v>28.567945395941255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51.91858123522637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177</v>
      </c>
      <c r="L72" s="13">
        <f>VLOOKUP(A72,'Données projet'!$A$35:$I$55,9,0)</f>
        <v>8.125</v>
      </c>
      <c r="M72" s="13">
        <f t="array" ref="M72">INDEX(L:L,MIN(IF(ISNUMBER(L72:L268),ROW(L72:L268),"")))</f>
        <v>8.125</v>
      </c>
      <c r="N72" s="14">
        <f>IF('Données projet'!$A$36&gt;35,N71+M72-V71,IF(A72&lt;'Données projet'!$A$36,$K$205^A72,IF(A72='Données projet'!$A$36,'Données projet'!$B$36,N71+M72-V71)))</f>
        <v>177.00000000000009</v>
      </c>
      <c r="O72" s="14">
        <f>N72*VLOOKUP('Données projet'!$B$9,Paramètres!$A$1:$I$89,3,0)*VLOOKUP('Données projet'!$B$9,Paramètres!$A$1:$I$89,5,0)</f>
        <v>160.14960000000008</v>
      </c>
      <c r="P72" s="14">
        <f t="shared" si="87"/>
        <v>40.876256268741535</v>
      </c>
      <c r="Q72" s="22">
        <f t="shared" si="54"/>
        <v>350.12003300139162</v>
      </c>
      <c r="R72" s="62">
        <f t="shared" si="55"/>
        <v>643.45336633472493</v>
      </c>
      <c r="S72" s="62">
        <f ca="1">AVERAGE(OFFSET($R$3,0,0,'Données projet'!$E$9+1,1))-AVERAGE(OFFSET($H$3,0,0,'Données projet'!$E$9+1,1))</f>
        <v>430.41482167204606</v>
      </c>
      <c r="T72" s="62">
        <f t="shared" si="88"/>
        <v>177.02794100524551</v>
      </c>
      <c r="U72" s="16">
        <f>IF(ISNA(VLOOKUP(A72,'Données projet'!$A$35:$I$55,3,0)),0,VLOOKUP(A72,'Données projet'!$A$35:$I$55,3,0))</f>
        <v>4</v>
      </c>
      <c r="V72" s="16">
        <f>IF(ISNA(VLOOKUP(A72,'Données projet'!$A$35:$I$55,4,0)),0,VLOOKUP(A72,'Données projet'!$A$35:$I$55,4,0))</f>
        <v>40</v>
      </c>
      <c r="W72" s="17">
        <f>IF(ISNA(VLOOKUP(A72,'Données projet'!$A$35:$I$55,5,0)),0%,VLOOKUP(A72,'Données projet'!$A$35:$I$55,5,0)*VLOOKUP('Données projet'!$B$9,Paramètres!$A$1:$I$89,7,0))</f>
        <v>0.215</v>
      </c>
      <c r="X72" s="17">
        <f>IF(ISNA(VLOOKUP(A72,'Données projet'!$A$35:$I$55,6,0)),0%,VLOOKUP(A72,'Données projet'!$A$35:$I$55,6,0)*VLOOKUP('Données projet'!$B$9,Paramètres!$A$1:$I$89,7,0))</f>
        <v>0.17200000000000001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16.4942050713485</v>
      </c>
      <c r="AA72" s="23">
        <f>EXP(-LN(2)/25)*AA71+(1-EXP(-LN(2)/25))/(LN(2)/25)*Calculateur!V72*Calculateur!X72*VLOOKUP('Données projet'!$B$9,Paramètres!$A$1:$I$89,3,0)*0.475*44/12</f>
        <v>12.757224160000309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29.251429231348808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2.2737367544323206E-13</v>
      </c>
      <c r="AJ72" s="14">
        <f>AI72*VLOOKUP('Données projet'!$B$10,Paramètres!$A$1:$I$89,3,0)*VLOOKUP('Données projet'!$B$10,Paramètres!$A$1:$I$89,5,0)</f>
        <v>1.2710188457276673E-13</v>
      </c>
      <c r="AK72" s="14">
        <f t="shared" si="89"/>
        <v>1.856866851063998E-12</v>
      </c>
      <c r="AL72" s="22">
        <f t="shared" si="58"/>
        <v>3.4554122145673649E-12</v>
      </c>
      <c r="AM72" s="62">
        <f t="shared" si="59"/>
        <v>293.33333333333678</v>
      </c>
      <c r="AN72" s="62">
        <f ca="1">AVERAGE(OFFSET($AM$3,0,0,'Données projet'!$E$10+1,1))-AVERAGE(OFFSET($H$3,0,0,'Données projet'!$E$10+1,1))</f>
        <v>507.43397352006832</v>
      </c>
      <c r="AO72" s="62">
        <f t="shared" si="90"/>
        <v>631.65579929520936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330.18097397603282</v>
      </c>
      <c r="AV72" s="23">
        <f>EXP(-LN(2)/25)*AV71+(1-EXP(-LN(2)/25))/(LN(2)/25)*Calculateur!AQ72*Calculateur!AS72*VLOOKUP('Données projet'!$B$10,Paramètres!$A$1:$I$89,3,0)*0.475*44/12</f>
        <v>38.489653055590836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368.67062703162367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</v>
      </c>
      <c r="BD72" s="13">
        <f>IF('Données projet'!$A$88&gt;35,BD71+BC72-BL71,IF(A72&lt;'Données projet'!$A$88,$BA$205^A72,IF(A72='Données projet'!$A$88,'Données projet'!$B$88,BD71+BC72-BL71)))</f>
        <v>318.00000000000017</v>
      </c>
      <c r="BE72" s="14">
        <f>BD72*VLOOKUP('Données projet'!$B$11,Paramètres!$A$1:$I$89,3,0)*VLOOKUP('Données projet'!$B$11,Paramètres!$A$1:$I$89,5,0)</f>
        <v>248.04000000000013</v>
      </c>
      <c r="BF72" s="14">
        <f t="shared" si="91"/>
        <v>60.166044284441391</v>
      </c>
      <c r="BG72" s="22">
        <f t="shared" si="61"/>
        <v>536.79219379540234</v>
      </c>
      <c r="BH72" s="62">
        <f t="shared" si="62"/>
        <v>830.12552712873571</v>
      </c>
      <c r="BI72" s="62">
        <f ca="1">AVERAGE(OFFSET($BH$3,0,0,'Données projet'!$E$11+1,1))-AVERAGE(OFFSET($H$3,0,0,'Données projet'!$E$11+1,1))</f>
        <v>357.65167206083379</v>
      </c>
      <c r="BJ72" s="62">
        <f t="shared" si="92"/>
        <v>341.23389735986342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22.892744112958269</v>
      </c>
      <c r="BQ72" s="23">
        <f>EXP(-LN(2)/25)*BQ71+(1-EXP(-LN(2)/25))/(LN(2)/25)*Calculateur!BL72*Calculateur!BN72*VLOOKUP('Données projet'!$B$11,Paramètres!$A$1:$I$89,3,0)*0.475*44/12</f>
        <v>27.786753426766285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50.679497539724551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7.125</v>
      </c>
      <c r="N73" s="14">
        <f>IF('Données projet'!$A$36&gt;35,N72+M73-V72,IF(A73&lt;'Données projet'!$A$36,$K$205^A73,IF(A73='Données projet'!$A$36,'Données projet'!$B$36,N72+M73-V72)))</f>
        <v>144.12500000000009</v>
      </c>
      <c r="O73" s="14">
        <f>N73*VLOOKUP('Données projet'!$B$9,Paramètres!$A$1:$I$89,3,0)*VLOOKUP('Données projet'!$B$9,Paramètres!$A$1:$I$89,5,0)</f>
        <v>130.40430000000006</v>
      </c>
      <c r="P73" s="14">
        <f t="shared" si="87"/>
        <v>34.089764301804081</v>
      </c>
      <c r="Q73" s="22">
        <f t="shared" si="54"/>
        <v>286.49382865897553</v>
      </c>
      <c r="R73" s="62">
        <f t="shared" si="55"/>
        <v>579.8271619923089</v>
      </c>
      <c r="S73" s="62">
        <f ca="1">AVERAGE(OFFSET($R$3,0,0,'Données projet'!$E$9+1,1))-AVERAGE(OFFSET($H$3,0,0,'Données projet'!$E$9+1,1))</f>
        <v>430.41482167204606</v>
      </c>
      <c r="T73" s="62">
        <f t="shared" si="88"/>
        <v>177.02794100524551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16.17076377037106</v>
      </c>
      <c r="AA73" s="23">
        <f>EXP(-LN(2)/25)*AA72+(1-EXP(-LN(2)/25))/(LN(2)/25)*Calculateur!V73*Calculateur!X73*VLOOKUP('Données projet'!$B$9,Paramètres!$A$1:$I$89,3,0)*0.475*44/12</f>
        <v>12.408377194471839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28.5791409648429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2.2737367544323206E-13</v>
      </c>
      <c r="AJ73" s="14">
        <f>AI73*VLOOKUP('Données projet'!$B$10,Paramètres!$A$1:$I$89,3,0)*VLOOKUP('Données projet'!$B$10,Paramètres!$A$1:$I$89,5,0)</f>
        <v>1.2710188457276673E-13</v>
      </c>
      <c r="AK73" s="14">
        <f t="shared" si="89"/>
        <v>1.856866851063998E-12</v>
      </c>
      <c r="AL73" s="22">
        <f t="shared" si="58"/>
        <v>3.4554122145673649E-12</v>
      </c>
      <c r="AM73" s="62">
        <f t="shared" si="59"/>
        <v>293.33333333333678</v>
      </c>
      <c r="AN73" s="62">
        <f ca="1">AVERAGE(OFFSET($AM$3,0,0,'Données projet'!$E$10+1,1))-AVERAGE(OFFSET($H$3,0,0,'Données projet'!$E$10+1,1))</f>
        <v>507.43397352006832</v>
      </c>
      <c r="AO73" s="62">
        <f t="shared" si="90"/>
        <v>631.65579929520936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323.7063264668713</v>
      </c>
      <c r="AV73" s="23">
        <f>EXP(-LN(2)/25)*AV72+(1-EXP(-LN(2)/25))/(LN(2)/25)*Calculateur!AQ73*Calculateur!AS73*VLOOKUP('Données projet'!$B$10,Paramètres!$A$1:$I$89,3,0)*0.475*44/12</f>
        <v>37.437151468702822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361.14347793557414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327</v>
      </c>
      <c r="BB73" s="13">
        <f>VLOOKUP(A73,'Données projet'!$A$87:$I$107,9,0)</f>
        <v>9</v>
      </c>
      <c r="BC73" s="13">
        <f t="array" ref="BC73">INDEX(BB:BB,MIN(IF(ISNUMBER(BB73:BB269),ROW(BB73:BB269),"")))</f>
        <v>9</v>
      </c>
      <c r="BD73" s="13">
        <f>IF('Données projet'!$A$88&gt;35,BD72+BC73-BL72,IF(A73&lt;'Données projet'!$A$88,$BA$205^A73,IF(A73='Données projet'!$A$88,'Données projet'!$B$88,BD72+BC73-BL72)))</f>
        <v>327.00000000000017</v>
      </c>
      <c r="BE73" s="14">
        <f>BD73*VLOOKUP('Données projet'!$B$11,Paramètres!$A$1:$I$89,3,0)*VLOOKUP('Données projet'!$B$11,Paramètres!$A$1:$I$89,5,0)</f>
        <v>255.06000000000014</v>
      </c>
      <c r="BF73" s="14">
        <f t="shared" si="91"/>
        <v>61.668196852621989</v>
      </c>
      <c r="BG73" s="22">
        <f t="shared" si="61"/>
        <v>551.63494285165018</v>
      </c>
      <c r="BH73" s="62">
        <f t="shared" si="62"/>
        <v>844.96827618498355</v>
      </c>
      <c r="BI73" s="62">
        <f ca="1">AVERAGE(OFFSET($BH$3,0,0,'Données projet'!$E$11+1,1))-AVERAGE(OFFSET($H$3,0,0,'Données projet'!$E$11+1,1))</f>
        <v>357.65167206083379</v>
      </c>
      <c r="BJ73" s="62">
        <f t="shared" si="92"/>
        <v>341.23389735986342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32</v>
      </c>
      <c r="BM73" s="17">
        <f>IF(ISNA(VLOOKUP(A73,'Données projet'!$A$87:$I$107,5,0)),0%,VLOOKUP(A73,'Données projet'!$A$87:$I$107,5,0)*VLOOKUP('Données projet'!$B$11,Paramètres!$A$1:$I$89,7,0))</f>
        <v>0.215</v>
      </c>
      <c r="BN73" s="17">
        <f>IF(ISNA(VLOOKUP(A73,'Données projet'!$A$87:$I$107,6,0)),0%,VLOOKUP(A73,'Données projet'!$A$87:$I$107,6,0)*VLOOKUP('Données projet'!$B$11,Paramètres!$A$1:$I$89,7,0))</f>
        <v>0.215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28.376227608823939</v>
      </c>
      <c r="BQ73" s="23">
        <f>EXP(-LN(2)/25)*BQ72+(1-EXP(-LN(2)/25))/(LN(2)/25)*Calculateur!BL73*Calculateur!BN73*VLOOKUP('Données projet'!$B$11,Paramètres!$A$1:$I$89,3,0)*0.475*44/12</f>
        <v>32.935961333359465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61.312188942183404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7.125</v>
      </c>
      <c r="N74" s="14">
        <f>IF('Données projet'!$A$36&gt;35,N73+M74-V73,IF(A74&lt;'Données projet'!$A$36,$K$205^A74,IF(A74='Données projet'!$A$36,'Données projet'!$B$36,N73+M74-V73)))</f>
        <v>151.25000000000009</v>
      </c>
      <c r="O74" s="14">
        <f>N74*VLOOKUP('Données projet'!$B$9,Paramètres!$A$1:$I$89,3,0)*VLOOKUP('Données projet'!$B$9,Paramètres!$A$1:$I$89,5,0)</f>
        <v>136.85100000000006</v>
      </c>
      <c r="P74" s="14">
        <f t="shared" si="87"/>
        <v>35.574661452157265</v>
      </c>
      <c r="Q74" s="22">
        <f t="shared" si="54"/>
        <v>300.30802702917401</v>
      </c>
      <c r="R74" s="62">
        <f t="shared" si="55"/>
        <v>593.64136036250738</v>
      </c>
      <c r="S74" s="62">
        <f ca="1">AVERAGE(OFFSET($R$3,0,0,'Données projet'!$E$9+1,1))-AVERAGE(OFFSET($H$3,0,0,'Données projet'!$E$9+1,1))</f>
        <v>430.41482167204606</v>
      </c>
      <c r="T74" s="62">
        <f t="shared" si="88"/>
        <v>177.02794100524551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15.853664956026075</v>
      </c>
      <c r="AA74" s="23">
        <f>EXP(-LN(2)/25)*AA73+(1-EXP(-LN(2)/25))/(LN(2)/25)*Calculateur!V74*Calculateur!X74*VLOOKUP('Données projet'!$B$9,Paramètres!$A$1:$I$89,3,0)*0.475*44/12</f>
        <v>12.06906946756081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27.922734423586885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1.2710188457276673E-13</v>
      </c>
      <c r="AK74" s="14">
        <f t="shared" si="89"/>
        <v>1.856866851063998E-12</v>
      </c>
      <c r="AL74" s="22">
        <f t="shared" si="58"/>
        <v>3.4554122145673649E-12</v>
      </c>
      <c r="AM74" s="62">
        <f t="shared" si="59"/>
        <v>293.33333333333678</v>
      </c>
      <c r="AN74" s="62">
        <f ca="1">AVERAGE(OFFSET($AM$3,0,0,'Données projet'!$E$10+1,1))-AVERAGE(OFFSET($H$3,0,0,'Données projet'!$E$10+1,1))</f>
        <v>507.43397352006832</v>
      </c>
      <c r="AO74" s="62">
        <f t="shared" si="90"/>
        <v>631.65579929520936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317.35864284621937</v>
      </c>
      <c r="AV74" s="23">
        <f>EXP(-LN(2)/25)*AV73+(1-EXP(-LN(2)/25))/(LN(2)/25)*Calculateur!AQ74*Calculateur!AS74*VLOOKUP('Données projet'!$B$10,Paramètres!$A$1:$I$89,3,0)*0.475*44/12</f>
        <v>36.413430593056908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353.77207343927626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</v>
      </c>
      <c r="BD74" s="13">
        <f>IF('Données projet'!$A$88&gt;35,BD73+BC74-BL73,IF(A74&lt;'Données projet'!$A$88,$BA$205^A74,IF(A74='Données projet'!$A$88,'Données projet'!$B$88,BD73+BC74-BL73)))</f>
        <v>304.00000000000017</v>
      </c>
      <c r="BE74" s="14">
        <f>BD74*VLOOKUP('Données projet'!$B$11,Paramètres!$A$1:$I$89,3,0)*VLOOKUP('Données projet'!$B$11,Paramètres!$A$1:$I$89,5,0)</f>
        <v>237.12000000000015</v>
      </c>
      <c r="BF74" s="14">
        <f t="shared" si="91"/>
        <v>57.819449746919268</v>
      </c>
      <c r="BG74" s="22">
        <f t="shared" si="61"/>
        <v>513.68620830921793</v>
      </c>
      <c r="BH74" s="62">
        <f t="shared" si="62"/>
        <v>807.0195416425513</v>
      </c>
      <c r="BI74" s="62">
        <f ca="1">AVERAGE(OFFSET($BH$3,0,0,'Données projet'!$E$11+1,1))-AVERAGE(OFFSET($H$3,0,0,'Données projet'!$E$11+1,1))</f>
        <v>357.65167206083379</v>
      </c>
      <c r="BJ74" s="62">
        <f t="shared" si="92"/>
        <v>341.23389735986342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27.819787093204742</v>
      </c>
      <c r="BQ74" s="23">
        <f>EXP(-LN(2)/25)*BQ73+(1-EXP(-LN(2)/25))/(LN(2)/25)*Calculateur!BL74*Calculateur!BN74*VLOOKUP('Données projet'!$B$11,Paramètres!$A$1:$I$89,3,0)*0.475*44/12</f>
        <v>32.035325738671823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59.855112831876568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7.125</v>
      </c>
      <c r="N75" s="14">
        <f>IF('Données projet'!$A$36&gt;35,N74+M75-V74,IF(A75&lt;'Données projet'!$A$36,$K$205^A75,IF(A75='Données projet'!$A$36,'Données projet'!$B$36,N74+M75-V74)))</f>
        <v>158.37500000000009</v>
      </c>
      <c r="O75" s="14">
        <f>N75*VLOOKUP('Données projet'!$B$9,Paramètres!$A$1:$I$89,3,0)*VLOOKUP('Données projet'!$B$9,Paramètres!$A$1:$I$89,5,0)</f>
        <v>143.29770000000008</v>
      </c>
      <c r="P75" s="14">
        <f t="shared" si="87"/>
        <v>37.05143556739683</v>
      </c>
      <c r="Q75" s="22">
        <f t="shared" si="54"/>
        <v>314.10807777988293</v>
      </c>
      <c r="R75" s="62">
        <f t="shared" si="55"/>
        <v>607.44141111321619</v>
      </c>
      <c r="S75" s="62">
        <f ca="1">AVERAGE(OFFSET($R$3,0,0,'Données projet'!$E$9+1,1))-AVERAGE(OFFSET($H$3,0,0,'Données projet'!$E$9+1,1))</f>
        <v>430.41482167204606</v>
      </c>
      <c r="T75" s="62">
        <f t="shared" si="88"/>
        <v>177.02794100524551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15.542784256019214</v>
      </c>
      <c r="AA75" s="23">
        <f>EXP(-LN(2)/25)*AA74+(1-EXP(-LN(2)/25))/(LN(2)/25)*Calculateur!V75*Calculateur!X75*VLOOKUP('Données projet'!$B$9,Paramètres!$A$1:$I$89,3,0)*0.475*44/12</f>
        <v>11.739040128285581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27.281824384304795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1.2710188457276673E-13</v>
      </c>
      <c r="AK75" s="14">
        <f t="shared" si="89"/>
        <v>1.856866851063998E-12</v>
      </c>
      <c r="AL75" s="22">
        <f t="shared" si="58"/>
        <v>3.4554122145673649E-12</v>
      </c>
      <c r="AM75" s="62">
        <f t="shared" si="59"/>
        <v>293.33333333333678</v>
      </c>
      <c r="AN75" s="62">
        <f ca="1">AVERAGE(OFFSET($AM$3,0,0,'Données projet'!$E$10+1,1))-AVERAGE(OFFSET($H$3,0,0,'Données projet'!$E$10+1,1))</f>
        <v>507.43397352006832</v>
      </c>
      <c r="AO75" s="62">
        <f t="shared" si="90"/>
        <v>631.65579929520936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311.13543342966375</v>
      </c>
      <c r="AV75" s="23">
        <f>EXP(-LN(2)/25)*AV74+(1-EXP(-LN(2)/25))/(LN(2)/25)*Calculateur!AQ75*Calculateur!AS75*VLOOKUP('Données projet'!$B$10,Paramètres!$A$1:$I$89,3,0)*0.475*44/12</f>
        <v>35.417703418590676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346.55313684825444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</v>
      </c>
      <c r="BD75" s="13">
        <f>IF('Données projet'!$A$88&gt;35,BD74+BC75-BL74,IF(A75&lt;'Données projet'!$A$88,$BA$205^A75,IF(A75='Données projet'!$A$88,'Données projet'!$B$88,BD74+BC75-BL74)))</f>
        <v>313.00000000000017</v>
      </c>
      <c r="BE75" s="14">
        <f>BD75*VLOOKUP('Données projet'!$B$11,Paramètres!$A$1:$I$89,3,0)*VLOOKUP('Données projet'!$B$11,Paramètres!$A$1:$I$89,5,0)</f>
        <v>244.14000000000013</v>
      </c>
      <c r="BF75" s="14">
        <f t="shared" si="91"/>
        <v>59.329383078866108</v>
      </c>
      <c r="BG75" s="22">
        <f t="shared" si="61"/>
        <v>528.54250886235877</v>
      </c>
      <c r="BH75" s="62">
        <f t="shared" si="62"/>
        <v>821.87584219569203</v>
      </c>
      <c r="BI75" s="62">
        <f ca="1">AVERAGE(OFFSET($BH$3,0,0,'Données projet'!$E$11+1,1))-AVERAGE(OFFSET($H$3,0,0,'Données projet'!$E$11+1,1))</f>
        <v>357.65167206083379</v>
      </c>
      <c r="BJ75" s="62">
        <f t="shared" si="92"/>
        <v>341.23389735986342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27.274258036701635</v>
      </c>
      <c r="BQ75" s="23">
        <f>EXP(-LN(2)/25)*BQ74+(1-EXP(-LN(2)/25))/(LN(2)/25)*Calculateur!BL75*Calculateur!BN75*VLOOKUP('Données projet'!$B$11,Paramètres!$A$1:$I$89,3,0)*0.475*44/12</f>
        <v>31.15931807168328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58.433576108384912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7.125</v>
      </c>
      <c r="N76" s="14">
        <f>IF('Données projet'!$A$36&gt;35,N75+M76-V75,IF(A76&lt;'Données projet'!$A$36,$K$205^A76,IF(A76='Données projet'!$A$36,'Données projet'!$B$36,N75+M76-V75)))</f>
        <v>165.50000000000009</v>
      </c>
      <c r="O76" s="14">
        <f>N76*VLOOKUP('Données projet'!$B$9,Paramètres!$A$1:$I$89,3,0)*VLOOKUP('Données projet'!$B$9,Paramètres!$A$1:$I$89,5,0)</f>
        <v>149.74440000000007</v>
      </c>
      <c r="P76" s="14">
        <f t="shared" si="87"/>
        <v>38.520493839458773</v>
      </c>
      <c r="Q76" s="22">
        <f t="shared" si="54"/>
        <v>327.89469010372414</v>
      </c>
      <c r="R76" s="62">
        <f t="shared" si="55"/>
        <v>621.22802343705746</v>
      </c>
      <c r="S76" s="62">
        <f ca="1">AVERAGE(OFFSET($R$3,0,0,'Données projet'!$E$9+1,1))-AVERAGE(OFFSET($H$3,0,0,'Données projet'!$E$9+1,1))</f>
        <v>430.41482167204606</v>
      </c>
      <c r="T76" s="62">
        <f t="shared" si="88"/>
        <v>177.02794100524551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15.237999736920985</v>
      </c>
      <c r="AA76" s="23">
        <f>EXP(-LN(2)/25)*AA75+(1-EXP(-LN(2)/25))/(LN(2)/25)*Calculateur!V76*Calculateur!X76*VLOOKUP('Données projet'!$B$9,Paramètres!$A$1:$I$89,3,0)*0.475*44/12</f>
        <v>11.418035458648321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26.656035195569306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1.2710188457276673E-13</v>
      </c>
      <c r="AK76" s="14">
        <f t="shared" si="89"/>
        <v>1.856866851063998E-12</v>
      </c>
      <c r="AL76" s="22">
        <f t="shared" si="58"/>
        <v>3.4554122145673649E-12</v>
      </c>
      <c r="AM76" s="62">
        <f t="shared" si="59"/>
        <v>293.33333333333678</v>
      </c>
      <c r="AN76" s="62">
        <f ca="1">AVERAGE(OFFSET($AM$3,0,0,'Données projet'!$E$10+1,1))-AVERAGE(OFFSET($H$3,0,0,'Données projet'!$E$10+1,1))</f>
        <v>507.43397352006832</v>
      </c>
      <c r="AO76" s="62">
        <f t="shared" si="90"/>
        <v>631.65579929520936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305.03425735398383</v>
      </c>
      <c r="AV76" s="23">
        <f>EXP(-LN(2)/25)*AV75+(1-EXP(-LN(2)/25))/(LN(2)/25)*Calculateur!AQ76*Calculateur!AS76*VLOOKUP('Données projet'!$B$10,Paramètres!$A$1:$I$89,3,0)*0.475*44/12</f>
        <v>34.44920445607324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339.48346181005707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</v>
      </c>
      <c r="BD76" s="13">
        <f>IF('Données projet'!$A$88&gt;35,BD75+BC76-BL75,IF(A76&lt;'Données projet'!$A$88,$BA$205^A76,IF(A76='Données projet'!$A$88,'Données projet'!$B$88,BD75+BC76-BL75)))</f>
        <v>322.00000000000017</v>
      </c>
      <c r="BE76" s="14">
        <f>BD76*VLOOKUP('Données projet'!$B$11,Paramètres!$A$1:$I$89,3,0)*VLOOKUP('Données projet'!$B$11,Paramètres!$A$1:$I$89,5,0)</f>
        <v>251.16000000000014</v>
      </c>
      <c r="BF76" s="14">
        <f t="shared" si="91"/>
        <v>60.834270430141594</v>
      </c>
      <c r="BG76" s="22">
        <f t="shared" si="61"/>
        <v>543.39002099916354</v>
      </c>
      <c r="BH76" s="62">
        <f t="shared" si="62"/>
        <v>836.72335433249691</v>
      </c>
      <c r="BI76" s="62">
        <f ca="1">AVERAGE(OFFSET($BH$3,0,0,'Données projet'!$E$11+1,1))-AVERAGE(OFFSET($H$3,0,0,'Données projet'!$E$11+1,1))</f>
        <v>357.65167206083379</v>
      </c>
      <c r="BJ76" s="62">
        <f t="shared" si="92"/>
        <v>341.23389735986342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26.739426472256685</v>
      </c>
      <c r="BQ76" s="23">
        <f>EXP(-LN(2)/25)*BQ75+(1-EXP(-LN(2)/25))/(LN(2)/25)*Calculateur!BL76*Calculateur!BN76*VLOOKUP('Données projet'!$B$11,Paramètres!$A$1:$I$89,3,0)*0.475*44/12</f>
        <v>30.307264880415779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57.046691352672468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7.125</v>
      </c>
      <c r="N77" s="14">
        <f>IF('Données projet'!$A$36&gt;35,N76+M77-V76,IF(A77&lt;'Données projet'!$A$36,$K$205^A77,IF(A77='Données projet'!$A$36,'Données projet'!$B$36,N76+M77-V76)))</f>
        <v>172.62500000000009</v>
      </c>
      <c r="O77" s="14">
        <f>N77*VLOOKUP('Données projet'!$B$9,Paramètres!$A$1:$I$89,3,0)*VLOOKUP('Données projet'!$B$9,Paramètres!$A$1:$I$89,5,0)</f>
        <v>156.19110000000006</v>
      </c>
      <c r="P77" s="14">
        <f t="shared" si="87"/>
        <v>39.982206417081535</v>
      </c>
      <c r="Q77" s="22">
        <f t="shared" si="54"/>
        <v>341.6685086764171</v>
      </c>
      <c r="R77" s="62">
        <f t="shared" si="55"/>
        <v>635.00184200975036</v>
      </c>
      <c r="S77" s="62">
        <f ca="1">AVERAGE(OFFSET($R$3,0,0,'Données projet'!$E$9+1,1))-AVERAGE(OFFSET($H$3,0,0,'Données projet'!$E$9+1,1))</f>
        <v>430.41482167204606</v>
      </c>
      <c r="T77" s="62">
        <f t="shared" si="88"/>
        <v>177.02794100524551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14.939191856342072</v>
      </c>
      <c r="AA77" s="23">
        <f>EXP(-LN(2)/25)*AA76+(1-EXP(-LN(2)/25))/(LN(2)/25)*Calculateur!V77*Calculateur!X77*VLOOKUP('Données projet'!$B$9,Paramètres!$A$1:$I$89,3,0)*0.475*44/12</f>
        <v>11.105808678583195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26.045000534925265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1.2710188457276673E-13</v>
      </c>
      <c r="AK77" s="14">
        <f t="shared" si="89"/>
        <v>1.856866851063998E-12</v>
      </c>
      <c r="AL77" s="22">
        <f t="shared" si="58"/>
        <v>3.4554122145673649E-12</v>
      </c>
      <c r="AM77" s="62">
        <f t="shared" si="59"/>
        <v>293.33333333333678</v>
      </c>
      <c r="AN77" s="62">
        <f ca="1">AVERAGE(OFFSET($AM$3,0,0,'Données projet'!$E$10+1,1))-AVERAGE(OFFSET($H$3,0,0,'Données projet'!$E$10+1,1))</f>
        <v>507.43397352006832</v>
      </c>
      <c r="AO77" s="62">
        <f t="shared" si="90"/>
        <v>631.65579929520936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299.05272161979804</v>
      </c>
      <c r="AV77" s="23">
        <f>EXP(-LN(2)/25)*AV76+(1-EXP(-LN(2)/25))/(LN(2)/25)*Calculateur!AQ77*Calculateur!AS77*VLOOKUP('Données projet'!$B$10,Paramètres!$A$1:$I$89,3,0)*0.475*44/12</f>
        <v>33.507189148616987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332.55991076841502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</v>
      </c>
      <c r="BD77" s="13">
        <f>IF('Données projet'!$A$88&gt;35,BD76+BC77-BL76,IF(A77&lt;'Données projet'!$A$88,$BA$205^A77,IF(A77='Données projet'!$A$88,'Données projet'!$B$88,BD76+BC77-BL76)))</f>
        <v>331.00000000000017</v>
      </c>
      <c r="BE77" s="14">
        <f>BD77*VLOOKUP('Données projet'!$B$11,Paramètres!$A$1:$I$89,3,0)*VLOOKUP('Données projet'!$B$11,Paramètres!$A$1:$I$89,5,0)</f>
        <v>258.18000000000012</v>
      </c>
      <c r="BF77" s="14">
        <f t="shared" si="91"/>
        <v>62.334269039770149</v>
      </c>
      <c r="BG77" s="22">
        <f t="shared" si="61"/>
        <v>558.22901857759996</v>
      </c>
      <c r="BH77" s="62">
        <f t="shared" si="62"/>
        <v>851.56235191093333</v>
      </c>
      <c r="BI77" s="62">
        <f ca="1">AVERAGE(OFFSET($BH$3,0,0,'Données projet'!$E$11+1,1))-AVERAGE(OFFSET($H$3,0,0,'Données projet'!$E$11+1,1))</f>
        <v>357.65167206083379</v>
      </c>
      <c r="BJ77" s="62">
        <f t="shared" si="92"/>
        <v>341.23389735986342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26.215082628575455</v>
      </c>
      <c r="BQ77" s="23">
        <f>EXP(-LN(2)/25)*BQ76+(1-EXP(-LN(2)/25))/(LN(2)/25)*Calculateur!BL77*Calculateur!BN77*VLOOKUP('Données projet'!$B$11,Paramètres!$A$1:$I$89,3,0)*0.475*44/12</f>
        <v>29.47851112847102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55.693593757046472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7.125</v>
      </c>
      <c r="N78" s="14">
        <f>IF('Données projet'!$A$36&gt;35,N77+M78-V77,IF(A78&lt;'Données projet'!$A$36,$K$205^A78,IF(A78='Données projet'!$A$36,'Données projet'!$B$36,N77+M78-V77)))</f>
        <v>179.75000000000009</v>
      </c>
      <c r="O78" s="14">
        <f>N78*VLOOKUP('Données projet'!$B$9,Paramètres!$A$1:$I$89,3,0)*VLOOKUP('Données projet'!$B$9,Paramètres!$A$1:$I$89,5,0)</f>
        <v>162.63780000000006</v>
      </c>
      <c r="P78" s="14">
        <f t="shared" si="87"/>
        <v>41.436911164755365</v>
      </c>
      <c r="Q78" s="22">
        <f t="shared" si="54"/>
        <v>355.43012194528234</v>
      </c>
      <c r="R78" s="62">
        <f t="shared" si="55"/>
        <v>648.76345527861565</v>
      </c>
      <c r="S78" s="62">
        <f ca="1">AVERAGE(OFFSET($R$3,0,0,'Données projet'!$E$9+1,1))-AVERAGE(OFFSET($H$3,0,0,'Données projet'!$E$9+1,1))</f>
        <v>430.41482167204606</v>
      </c>
      <c r="T78" s="62">
        <f t="shared" si="88"/>
        <v>177.02794100524551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14.6462434160465</v>
      </c>
      <c r="AA78" s="23">
        <f>EXP(-LN(2)/25)*AA77+(1-EXP(-LN(2)/25))/(LN(2)/25)*Calculateur!V78*Calculateur!X78*VLOOKUP('Données projet'!$B$9,Paramètres!$A$1:$I$89,3,0)*0.475*44/12</f>
        <v>10.802119756238241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25.448363172284743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1.2710188457276673E-13</v>
      </c>
      <c r="AK78" s="14">
        <f t="shared" si="89"/>
        <v>1.856866851063998E-12</v>
      </c>
      <c r="AL78" s="22">
        <f t="shared" si="58"/>
        <v>3.4554122145673649E-12</v>
      </c>
      <c r="AM78" s="62">
        <f t="shared" si="59"/>
        <v>293.33333333333678</v>
      </c>
      <c r="AN78" s="62">
        <f ca="1">AVERAGE(OFFSET($AM$3,0,0,'Données projet'!$E$10+1,1))-AVERAGE(OFFSET($H$3,0,0,'Données projet'!$E$10+1,1))</f>
        <v>507.43397352006832</v>
      </c>
      <c r="AO78" s="62">
        <f t="shared" si="90"/>
        <v>631.65579929520936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293.18848015298306</v>
      </c>
      <c r="AV78" s="23">
        <f>EXP(-LN(2)/25)*AV77+(1-EXP(-LN(2)/25))/(LN(2)/25)*Calculateur!AQ78*Calculateur!AS78*VLOOKUP('Données projet'!$B$10,Paramètres!$A$1:$I$89,3,0)*0.475*44/12</f>
        <v>32.590933299281559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325.77941345226463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9</v>
      </c>
      <c r="BC78" s="13">
        <f t="array" ref="BC78">INDEX(BB:BB,MIN(IF(ISNUMBER(BB78:BB274),ROW(BB78:BB274),"")))</f>
        <v>9</v>
      </c>
      <c r="BD78" s="13">
        <f>IF('Données projet'!$A$88&gt;35,BD77+BC78-BL77,IF(A78&lt;'Données projet'!$A$88,$BA$205^A78,IF(A78='Données projet'!$A$88,'Données projet'!$B$88,BD77+BC78-BL77)))</f>
        <v>340.00000000000017</v>
      </c>
      <c r="BE78" s="14">
        <f>BD78*VLOOKUP('Données projet'!$B$11,Paramètres!$A$1:$I$89,3,0)*VLOOKUP('Données projet'!$B$11,Paramètres!$A$1:$I$89,5,0)</f>
        <v>265.20000000000016</v>
      </c>
      <c r="BF78" s="14">
        <f t="shared" si="91"/>
        <v>63.829527109298382</v>
      </c>
      <c r="BG78" s="22">
        <f t="shared" si="61"/>
        <v>573.05975971536157</v>
      </c>
      <c r="BH78" s="62">
        <f t="shared" si="62"/>
        <v>866.39309304869494</v>
      </c>
      <c r="BI78" s="62">
        <f ca="1">AVERAGE(OFFSET($BH$3,0,0,'Données projet'!$E$11+1,1))-AVERAGE(OFFSET($H$3,0,0,'Données projet'!$E$11+1,1))</f>
        <v>357.65167206083379</v>
      </c>
      <c r="BJ78" s="62">
        <f t="shared" si="92"/>
        <v>341.23389735986342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31</v>
      </c>
      <c r="BM78" s="17">
        <f>IF(ISNA(VLOOKUP(A78,'Données projet'!$A$87:$I$107,5,0)),0%,VLOOKUP(A78,'Données projet'!$A$87:$I$107,5,0)*VLOOKUP('Données projet'!$B$11,Paramètres!$A$1:$I$89,7,0))</f>
        <v>0.43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37.195038572006546</v>
      </c>
      <c r="BQ78" s="23">
        <f>EXP(-LN(2)/25)*BQ77+(1-EXP(-LN(2)/25))/(LN(2)/25)*Calculateur!BL78*Calculateur!BN78*VLOOKUP('Données projet'!$B$11,Paramètres!$A$1:$I$89,3,0)*0.475*44/12</f>
        <v>28.672419691455453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65.867458263461998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7.125</v>
      </c>
      <c r="N79" s="14">
        <f>IF('Données projet'!$A$36&gt;35,N78+M79-V78,IF(A79&lt;'Données projet'!$A$36,$K$205^A79,IF(A79='Données projet'!$A$36,'Données projet'!$B$36,N78+M79-V78)))</f>
        <v>186.87500000000009</v>
      </c>
      <c r="O79" s="14">
        <f>N79*VLOOKUP('Données projet'!$B$9,Paramètres!$A$1:$I$89,3,0)*VLOOKUP('Données projet'!$B$9,Paramètres!$A$1:$I$89,5,0)</f>
        <v>169.08450000000008</v>
      </c>
      <c r="P79" s="14">
        <f t="shared" si="87"/>
        <v>42.884917645888443</v>
      </c>
      <c r="Q79" s="22">
        <f t="shared" si="54"/>
        <v>369.18006906658911</v>
      </c>
      <c r="R79" s="62">
        <f t="shared" si="55"/>
        <v>662.51340239992237</v>
      </c>
      <c r="S79" s="62">
        <f ca="1">AVERAGE(OFFSET($R$3,0,0,'Données projet'!$E$9+1,1))-AVERAGE(OFFSET($H$3,0,0,'Données projet'!$E$9+1,1))</f>
        <v>430.41482167204606</v>
      </c>
      <c r="T79" s="62">
        <f t="shared" si="88"/>
        <v>177.02794100524551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14.35903951598422</v>
      </c>
      <c r="AA79" s="23">
        <f>EXP(-LN(2)/25)*AA78+(1-EXP(-LN(2)/25))/(LN(2)/25)*Calculateur!V79*Calculateur!X79*VLOOKUP('Données projet'!$B$9,Paramètres!$A$1:$I$89,3,0)*0.475*44/12</f>
        <v>10.506735223445117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24.865774739429337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1.2710188457276673E-13</v>
      </c>
      <c r="AK79" s="14">
        <f t="shared" si="89"/>
        <v>1.856866851063998E-12</v>
      </c>
      <c r="AL79" s="22">
        <f t="shared" si="58"/>
        <v>3.4554122145673649E-12</v>
      </c>
      <c r="AM79" s="62">
        <f t="shared" si="59"/>
        <v>293.33333333333678</v>
      </c>
      <c r="AN79" s="62">
        <f ca="1">AVERAGE(OFFSET($AM$3,0,0,'Données projet'!$E$10+1,1))-AVERAGE(OFFSET($H$3,0,0,'Données projet'!$E$10+1,1))</f>
        <v>507.43397352006832</v>
      </c>
      <c r="AO79" s="62">
        <f t="shared" si="90"/>
        <v>631.65579929520936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287.43923288449821</v>
      </c>
      <c r="AV79" s="23">
        <f>EXP(-LN(2)/25)*AV78+(1-EXP(-LN(2)/25))/(LN(2)/25)*Calculateur!AQ79*Calculateur!AS79*VLOOKUP('Données projet'!$B$10,Paramètres!$A$1:$I$89,3,0)*0.475*44/12</f>
        <v>31.699732514330009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319.13896539882819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</v>
      </c>
      <c r="BD79" s="13">
        <f>IF('Données projet'!$A$88&gt;35,BD78+BC79-BL78,IF(A79&lt;'Données projet'!$A$88,$BA$205^A79,IF(A79='Données projet'!$A$88,'Données projet'!$B$88,BD78+BC79-BL78)))</f>
        <v>317.00000000000017</v>
      </c>
      <c r="BE79" s="14">
        <f>BD79*VLOOKUP('Données projet'!$B$11,Paramètres!$A$1:$I$89,3,0)*VLOOKUP('Données projet'!$B$11,Paramètres!$A$1:$I$89,5,0)</f>
        <v>247.26000000000013</v>
      </c>
      <c r="BF79" s="14">
        <f t="shared" si="91"/>
        <v>59.998835297287229</v>
      </c>
      <c r="BG79" s="22">
        <f t="shared" si="61"/>
        <v>535.14247147610877</v>
      </c>
      <c r="BH79" s="62">
        <f t="shared" si="62"/>
        <v>828.47580480944202</v>
      </c>
      <c r="BI79" s="62">
        <f ca="1">AVERAGE(OFFSET($BH$3,0,0,'Données projet'!$E$11+1,1))-AVERAGE(OFFSET($H$3,0,0,'Données projet'!$E$11+1,1))</f>
        <v>357.65167206083379</v>
      </c>
      <c r="BJ79" s="62">
        <f t="shared" si="92"/>
        <v>341.23389735986342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36.465666552342896</v>
      </c>
      <c r="BQ79" s="23">
        <f>EXP(-LN(2)/25)*BQ78+(1-EXP(-LN(2)/25))/(LN(2)/25)*Calculateur!BL79*Calculateur!BN79*VLOOKUP('Données projet'!$B$11,Paramètres!$A$1:$I$89,3,0)*0.475*44/12</f>
        <v>27.888370867175585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64.354037419518477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>
        <f>VLOOKUP(A80,'Données projet'!$A$35:$I$55,2,0)</f>
        <v>194</v>
      </c>
      <c r="L80" s="13">
        <f>VLOOKUP(A80,'Données projet'!$A$35:$I$55,9,0)</f>
        <v>7.125</v>
      </c>
      <c r="M80" s="13">
        <f t="array" ref="M80">INDEX(L:L,MIN(IF(ISNUMBER(L80:L276),ROW(L80:L276),"")))</f>
        <v>7.125</v>
      </c>
      <c r="N80" s="14">
        <f>IF('Données projet'!$A$36&gt;35,N79+M80-V79,IF(A80&lt;'Données projet'!$A$36,$K$205^A80,IF(A80='Données projet'!$A$36,'Données projet'!$B$36,N79+M80-V79)))</f>
        <v>194.00000000000009</v>
      </c>
      <c r="O80" s="14">
        <f>N80*VLOOKUP('Données projet'!$B$9,Paramètres!$A$1:$I$89,3,0)*VLOOKUP('Données projet'!$B$9,Paramètres!$A$1:$I$89,5,0)</f>
        <v>175.53120000000007</v>
      </c>
      <c r="P80" s="14">
        <f t="shared" si="87"/>
        <v>44.326510481422531</v>
      </c>
      <c r="Q80" s="22">
        <f t="shared" si="54"/>
        <v>382.91884575514433</v>
      </c>
      <c r="R80" s="62">
        <f t="shared" si="55"/>
        <v>676.25217908847765</v>
      </c>
      <c r="S80" s="62">
        <f ca="1">AVERAGE(OFFSET($R$3,0,0,'Données projet'!$E$9+1,1))-AVERAGE(OFFSET($H$3,0,0,'Données projet'!$E$9+1,1))</f>
        <v>430.41482167204606</v>
      </c>
      <c r="T80" s="62">
        <f t="shared" si="88"/>
        <v>177.02794100524551</v>
      </c>
      <c r="U80" s="16">
        <f>IF(ISNA(VLOOKUP(A80,'Données projet'!$A$35:$I$55,3,0)),0,VLOOKUP(A80,'Données projet'!$A$35:$I$55,3,0))</f>
        <v>5</v>
      </c>
      <c r="V80" s="16">
        <f>IF(ISNA(VLOOKUP(A80,'Données projet'!$A$35:$I$55,4,0)),0,VLOOKUP(A80,'Données projet'!$A$35:$I$55,4,0))</f>
        <v>44</v>
      </c>
      <c r="W80" s="17">
        <f>IF(ISNA(VLOOKUP(A80,'Données projet'!$A$35:$I$55,5,0)),0%,VLOOKUP(A80,'Données projet'!$A$35:$I$55,5,0)*VLOOKUP('Données projet'!$B$9,Paramètres!$A$1:$I$89,7,0))</f>
        <v>0.215</v>
      </c>
      <c r="X80" s="17">
        <f>IF(ISNA(VLOOKUP(A80,'Données projet'!$A$35:$I$55,6,0)),0%,VLOOKUP(A80,'Données projet'!$A$35:$I$55,6,0)*VLOOKUP('Données projet'!$B$9,Paramètres!$A$1:$I$89,7,0))</f>
        <v>0.17200000000000001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23.539639519562449</v>
      </c>
      <c r="AA80" s="23">
        <f>EXP(-LN(2)/25)*AA79+(1-EXP(-LN(2)/25))/(LN(2)/25)*Calculateur!V80*Calculateur!X80*VLOOKUP('Données projet'!$B$9,Paramètres!$A$1:$I$89,3,0)*0.475*44/12</f>
        <v>17.759360663244802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41.299000182807248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1.2710188457276673E-13</v>
      </c>
      <c r="AK80" s="14">
        <f t="shared" si="89"/>
        <v>1.856866851063998E-12</v>
      </c>
      <c r="AL80" s="22">
        <f t="shared" si="58"/>
        <v>3.4554122145673649E-12</v>
      </c>
      <c r="AM80" s="62">
        <f t="shared" si="59"/>
        <v>293.33333333333678</v>
      </c>
      <c r="AN80" s="62">
        <f ca="1">AVERAGE(OFFSET($AM$3,0,0,'Données projet'!$E$10+1,1))-AVERAGE(OFFSET($H$3,0,0,'Données projet'!$E$10+1,1))</f>
        <v>507.43397352006832</v>
      </c>
      <c r="AO80" s="62">
        <f t="shared" si="90"/>
        <v>631.65579929520936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281.80272484825377</v>
      </c>
      <c r="AV80" s="23">
        <f>EXP(-LN(2)/25)*AV79+(1-EXP(-LN(2)/25))/(LN(2)/25)*Calculateur!AQ80*Calculateur!AS80*VLOOKUP('Données projet'!$B$10,Paramètres!$A$1:$I$89,3,0)*0.475*44/12</f>
        <v>30.832901661709172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312.63562650996295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</v>
      </c>
      <c r="BD80" s="13">
        <f>IF('Données projet'!$A$88&gt;35,BD79+BC80-BL79,IF(A80&lt;'Données projet'!$A$88,$BA$205^A80,IF(A80='Données projet'!$A$88,'Données projet'!$B$88,BD79+BC80-BL79)))</f>
        <v>325.00000000000017</v>
      </c>
      <c r="BE80" s="14">
        <f>BD80*VLOOKUP('Données projet'!$B$11,Paramètres!$A$1:$I$89,3,0)*VLOOKUP('Données projet'!$B$11,Paramètres!$A$1:$I$89,5,0)</f>
        <v>253.50000000000014</v>
      </c>
      <c r="BF80" s="14">
        <f t="shared" si="91"/>
        <v>61.334805663162555</v>
      </c>
      <c r="BG80" s="22">
        <f t="shared" si="61"/>
        <v>548.33728653000833</v>
      </c>
      <c r="BH80" s="62">
        <f t="shared" si="62"/>
        <v>841.6706198633417</v>
      </c>
      <c r="BI80" s="62">
        <f ca="1">AVERAGE(OFFSET($BH$3,0,0,'Données projet'!$E$11+1,1))-AVERAGE(OFFSET($H$3,0,0,'Données projet'!$E$11+1,1))</f>
        <v>357.65167206083379</v>
      </c>
      <c r="BJ80" s="62">
        <f t="shared" si="92"/>
        <v>341.23389735986342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35.750597073111848</v>
      </c>
      <c r="BQ80" s="23">
        <f>EXP(-LN(2)/25)*BQ79+(1-EXP(-LN(2)/25))/(LN(2)/25)*Calculateur!BL80*Calculateur!BN80*VLOOKUP('Données projet'!$B$11,Paramètres!$A$1:$I$89,3,0)*0.475*44/12</f>
        <v>27.125761899226983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62.876358972338835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8.375</v>
      </c>
      <c r="N81" s="14">
        <f>IF('Données projet'!$A$36&gt;35,N80+M81-V80,IF(A81&lt;'Données projet'!$A$36,$K$205^A81,IF(A81='Données projet'!$A$36,'Données projet'!$B$36,N80+M81-V80)))</f>
        <v>158.37500000000009</v>
      </c>
      <c r="O81" s="14">
        <f>N81*VLOOKUP('Données projet'!$B$9,Paramètres!$A$1:$I$89,3,0)*VLOOKUP('Données projet'!$B$9,Paramètres!$A$1:$I$89,5,0)</f>
        <v>143.29770000000008</v>
      </c>
      <c r="P81" s="14">
        <f t="shared" si="87"/>
        <v>37.05143556739683</v>
      </c>
      <c r="Q81" s="22">
        <f t="shared" si="54"/>
        <v>314.10807777988293</v>
      </c>
      <c r="R81" s="62">
        <f t="shared" si="55"/>
        <v>607.44141111321619</v>
      </c>
      <c r="S81" s="62">
        <f ca="1">AVERAGE(OFFSET($R$3,0,0,'Données projet'!$E$9+1,1))-AVERAGE(OFFSET($H$3,0,0,'Données projet'!$E$9+1,1))</f>
        <v>430.41482167204606</v>
      </c>
      <c r="T81" s="62">
        <f t="shared" si="88"/>
        <v>177.02794100524551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23.078041546346224</v>
      </c>
      <c r="AA81" s="23">
        <f>EXP(-LN(2)/25)*AA80+(1-EXP(-LN(2)/25))/(LN(2)/25)*Calculateur!V81*Calculateur!X81*VLOOKUP('Données projet'!$B$9,Paramètres!$A$1:$I$89,3,0)*0.475*44/12</f>
        <v>17.273730011984185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40.351771558330412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1.2710188457276673E-13</v>
      </c>
      <c r="AK81" s="14">
        <f t="shared" si="89"/>
        <v>1.856866851063998E-12</v>
      </c>
      <c r="AL81" s="22">
        <f t="shared" si="58"/>
        <v>3.4554122145673649E-12</v>
      </c>
      <c r="AM81" s="62">
        <f t="shared" si="59"/>
        <v>293.33333333333678</v>
      </c>
      <c r="AN81" s="62">
        <f ca="1">AVERAGE(OFFSET($AM$3,0,0,'Données projet'!$E$10+1,1))-AVERAGE(OFFSET($H$3,0,0,'Données projet'!$E$10+1,1))</f>
        <v>507.43397352006832</v>
      </c>
      <c r="AO81" s="62">
        <f t="shared" si="90"/>
        <v>631.65579929520936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276.27674529666967</v>
      </c>
      <c r="AV81" s="23">
        <f>EXP(-LN(2)/25)*AV80+(1-EXP(-LN(2)/25))/(LN(2)/25)*Calculateur!AQ81*Calculateur!AS81*VLOOKUP('Données projet'!$B$10,Paramètres!$A$1:$I$89,3,0)*0.475*44/12</f>
        <v>29.989774344337906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306.26651964100756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</v>
      </c>
      <c r="BD81" s="13">
        <f>IF('Données projet'!$A$88&gt;35,BD80+BC81-BL80,IF(A81&lt;'Données projet'!$A$88,$BA$205^A81,IF(A81='Données projet'!$A$88,'Données projet'!$B$88,BD80+BC81-BL80)))</f>
        <v>333.00000000000017</v>
      </c>
      <c r="BE81" s="14">
        <f>BD81*VLOOKUP('Données projet'!$B$11,Paramètres!$A$1:$I$89,3,0)*VLOOKUP('Données projet'!$B$11,Paramètres!$A$1:$I$89,5,0)</f>
        <v>259.74000000000012</v>
      </c>
      <c r="BF81" s="14">
        <f t="shared" si="91"/>
        <v>62.666953236268782</v>
      </c>
      <c r="BG81" s="22">
        <f t="shared" si="61"/>
        <v>561.52544355316832</v>
      </c>
      <c r="BH81" s="62">
        <f t="shared" si="62"/>
        <v>854.85877688650157</v>
      </c>
      <c r="BI81" s="62">
        <f ca="1">AVERAGE(OFFSET($BH$3,0,0,'Données projet'!$E$11+1,1))-AVERAGE(OFFSET($H$3,0,0,'Données projet'!$E$11+1,1))</f>
        <v>357.65167206083379</v>
      </c>
      <c r="BJ81" s="62">
        <f t="shared" si="92"/>
        <v>341.23389735986342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35.049549670219207</v>
      </c>
      <c r="BQ81" s="23">
        <f>EXP(-LN(2)/25)*BQ80+(1-EXP(-LN(2)/25))/(LN(2)/25)*Calculateur!BL81*Calculateur!BN81*VLOOKUP('Données projet'!$B$11,Paramètres!$A$1:$I$89,3,0)*0.475*44/12</f>
        <v>26.3840065136108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61.433556183830007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8.375</v>
      </c>
      <c r="N82" s="14">
        <f>IF('Données projet'!$A$36&gt;35,N81+M82-V81,IF(A82&lt;'Données projet'!$A$36,$K$205^A82,IF(A82='Données projet'!$A$36,'Données projet'!$B$36,N81+M82-V81)))</f>
        <v>166.75000000000009</v>
      </c>
      <c r="O82" s="14">
        <f>N82*VLOOKUP('Données projet'!$B$9,Paramètres!$A$1:$I$89,3,0)*VLOOKUP('Données projet'!$B$9,Paramètres!$A$1:$I$89,5,0)</f>
        <v>150.87540000000007</v>
      </c>
      <c r="P82" s="14">
        <f t="shared" si="87"/>
        <v>38.77745598814775</v>
      </c>
      <c r="Q82" s="22">
        <f t="shared" si="54"/>
        <v>330.31205751269079</v>
      </c>
      <c r="R82" s="62">
        <f t="shared" si="55"/>
        <v>623.64539084602416</v>
      </c>
      <c r="S82" s="62">
        <f ca="1">AVERAGE(OFFSET($R$3,0,0,'Données projet'!$E$9+1,1))-AVERAGE(OFFSET($H$3,0,0,'Données projet'!$E$9+1,1))</f>
        <v>430.41482167204606</v>
      </c>
      <c r="T82" s="62">
        <f t="shared" si="88"/>
        <v>177.02794100524551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22.625495227837806</v>
      </c>
      <c r="AA82" s="23">
        <f>EXP(-LN(2)/25)*AA81+(1-EXP(-LN(2)/25))/(LN(2)/25)*Calculateur!V82*Calculateur!X82*VLOOKUP('Données projet'!$B$9,Paramètres!$A$1:$I$89,3,0)*0.475*44/12</f>
        <v>16.801378956420496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39.426874184258303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1.2710188457276673E-13</v>
      </c>
      <c r="AK82" s="14">
        <f t="shared" si="89"/>
        <v>1.856866851063998E-12</v>
      </c>
      <c r="AL82" s="22">
        <f t="shared" si="58"/>
        <v>3.4554122145673649E-12</v>
      </c>
      <c r="AM82" s="62">
        <f t="shared" si="59"/>
        <v>293.33333333333678</v>
      </c>
      <c r="AN82" s="62">
        <f ca="1">AVERAGE(OFFSET($AM$3,0,0,'Données projet'!$E$10+1,1))-AVERAGE(OFFSET($H$3,0,0,'Données projet'!$E$10+1,1))</f>
        <v>507.43397352006832</v>
      </c>
      <c r="AO82" s="62">
        <f t="shared" si="90"/>
        <v>631.65579929520936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270.85912683357742</v>
      </c>
      <c r="AV82" s="23">
        <f>EXP(-LN(2)/25)*AV81+(1-EXP(-LN(2)/25))/(LN(2)/25)*Calculateur!AQ82*Calculateur!AS82*VLOOKUP('Données projet'!$B$10,Paramètres!$A$1:$I$89,3,0)*0.475*44/12</f>
        <v>29.169702387798296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300.0288292213757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</v>
      </c>
      <c r="BD82" s="13">
        <f>IF('Données projet'!$A$88&gt;35,BD81+BC82-BL81,IF(A82&lt;'Données projet'!$A$88,$BA$205^A82,IF(A82='Données projet'!$A$88,'Données projet'!$B$88,BD81+BC82-BL81)))</f>
        <v>341.00000000000017</v>
      </c>
      <c r="BE82" s="14">
        <f>BD82*VLOOKUP('Données projet'!$B$11,Paramètres!$A$1:$I$89,3,0)*VLOOKUP('Données projet'!$B$11,Paramètres!$A$1:$I$89,5,0)</f>
        <v>265.98000000000013</v>
      </c>
      <c r="BF82" s="14">
        <f t="shared" si="91"/>
        <v>63.995380422211646</v>
      </c>
      <c r="BG82" s="22">
        <f t="shared" si="61"/>
        <v>574.7071209020188</v>
      </c>
      <c r="BH82" s="62">
        <f t="shared" si="62"/>
        <v>868.04045423535217</v>
      </c>
      <c r="BI82" s="62">
        <f ca="1">AVERAGE(OFFSET($BH$3,0,0,'Données projet'!$E$11+1,1))-AVERAGE(OFFSET($H$3,0,0,'Données projet'!$E$11+1,1))</f>
        <v>357.65167206083379</v>
      </c>
      <c r="BJ82" s="62">
        <f t="shared" si="92"/>
        <v>341.23389735986342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34.362249379300593</v>
      </c>
      <c r="BQ82" s="23">
        <f>EXP(-LN(2)/25)*BQ81+(1-EXP(-LN(2)/25))/(LN(2)/25)*Calculateur!BL82*Calculateur!BN82*VLOOKUP('Données projet'!$B$11,Paramètres!$A$1:$I$89,3,0)*0.475*44/12</f>
        <v>25.662534468021512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60.024783847322105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8.375</v>
      </c>
      <c r="N83" s="14">
        <f>IF('Données projet'!$A$36&gt;35,N82+M83-V82,IF(A83&lt;'Données projet'!$A$36,$K$205^A83,IF(A83='Données projet'!$A$36,'Données projet'!$B$36,N82+M83-V82)))</f>
        <v>175.12500000000009</v>
      </c>
      <c r="O83" s="14">
        <f>N83*VLOOKUP('Données projet'!$B$9,Paramètres!$A$1:$I$89,3,0)*VLOOKUP('Données projet'!$B$9,Paramètres!$A$1:$I$89,5,0)</f>
        <v>158.45310000000009</v>
      </c>
      <c r="P83" s="14">
        <f t="shared" si="87"/>
        <v>40.493410758765968</v>
      </c>
      <c r="Q83" s="22">
        <f t="shared" si="54"/>
        <v>346.49850623818423</v>
      </c>
      <c r="R83" s="62">
        <f t="shared" si="55"/>
        <v>639.83183957151755</v>
      </c>
      <c r="S83" s="62">
        <f ca="1">AVERAGE(OFFSET($R$3,0,0,'Données projet'!$E$9+1,1))-AVERAGE(OFFSET($H$3,0,0,'Données projet'!$E$9+1,1))</f>
        <v>430.41482167204606</v>
      </c>
      <c r="T83" s="62">
        <f t="shared" si="88"/>
        <v>177.02794100524551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22.18182306660934</v>
      </c>
      <c r="AA83" s="23">
        <f>EXP(-LN(2)/25)*AA82+(1-EXP(-LN(2)/25))/(LN(2)/25)*Calculateur!V83*Calculateur!X83*VLOOKUP('Données projet'!$B$9,Paramètres!$A$1:$I$89,3,0)*0.475*44/12</f>
        <v>16.341944365311058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38.523767431920398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1.2710188457276673E-13</v>
      </c>
      <c r="AK83" s="14">
        <f t="shared" si="89"/>
        <v>1.856866851063998E-12</v>
      </c>
      <c r="AL83" s="22">
        <f t="shared" si="58"/>
        <v>3.4554122145673649E-12</v>
      </c>
      <c r="AM83" s="62">
        <f t="shared" si="59"/>
        <v>293.33333333333678</v>
      </c>
      <c r="AN83" s="62">
        <f ca="1">AVERAGE(OFFSET($AM$3,0,0,'Données projet'!$E$10+1,1))-AVERAGE(OFFSET($H$3,0,0,'Données projet'!$E$10+1,1))</f>
        <v>507.43397352006832</v>
      </c>
      <c r="AO83" s="62">
        <f t="shared" si="90"/>
        <v>631.65579929520936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265.54774456412542</v>
      </c>
      <c r="AV83" s="23">
        <f>EXP(-LN(2)/25)*AV82+(1-EXP(-LN(2)/25))/(LN(2)/25)*Calculateur!AQ83*Calculateur!AS83*VLOOKUP('Données projet'!$B$10,Paramètres!$A$1:$I$89,3,0)*0.475*44/12</f>
        <v>28.372055342035971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293.91979990616142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349</v>
      </c>
      <c r="BB83" s="13">
        <f>VLOOKUP(A83,'Données projet'!$A$87:$I$107,9,0)</f>
        <v>8</v>
      </c>
      <c r="BC83" s="13">
        <f t="array" ref="BC83">INDEX(BB:BB,MIN(IF(ISNUMBER(BB83:BB279),ROW(BB83:BB279),"")))</f>
        <v>8</v>
      </c>
      <c r="BD83" s="13">
        <f>IF('Données projet'!$A$88&gt;35,BD82+BC83-BL82,IF(A83&lt;'Données projet'!$A$88,$BA$205^A83,IF(A83='Données projet'!$A$88,'Données projet'!$B$88,BD82+BC83-BL82)))</f>
        <v>349.00000000000017</v>
      </c>
      <c r="BE83" s="14">
        <f>BD83*VLOOKUP('Données projet'!$B$11,Paramètres!$A$1:$I$89,3,0)*VLOOKUP('Données projet'!$B$11,Paramètres!$A$1:$I$89,5,0)</f>
        <v>272.22000000000014</v>
      </c>
      <c r="BF83" s="14">
        <f t="shared" si="91"/>
        <v>65.320184547527205</v>
      </c>
      <c r="BG83" s="22">
        <f t="shared" si="61"/>
        <v>587.88248808694345</v>
      </c>
      <c r="BH83" s="62">
        <f t="shared" si="62"/>
        <v>881.21582142027682</v>
      </c>
      <c r="BI83" s="62">
        <f ca="1">AVERAGE(OFFSET($BH$3,0,0,'Données projet'!$E$11+1,1))-AVERAGE(OFFSET($H$3,0,0,'Données projet'!$E$11+1,1))</f>
        <v>357.65167206083379</v>
      </c>
      <c r="BJ83" s="62">
        <f t="shared" si="92"/>
        <v>341.23389735986342</v>
      </c>
      <c r="BK83" s="16" t="str">
        <f>IF(ISNA(VLOOKUP(A83,'Données projet'!$A$87:$I$107,3,0)),0,VLOOKUP(A83,'Données projet'!$A$87:$I$107,3,0))</f>
        <v>CR</v>
      </c>
      <c r="BL83" s="23">
        <f>IF(ISNA(VLOOKUP(A83,'Données projet'!$A$87:$I$107,4,0)),0,VLOOKUP(A83,'Données projet'!$A$87:$I$107,4,0))</f>
        <v>349</v>
      </c>
      <c r="BM83" s="17">
        <f>IF(ISNA(VLOOKUP(A83,'Données projet'!$A$87:$I$107,5,0)),0%,VLOOKUP(A83,'Données projet'!$A$87:$I$107,5,0)*VLOOKUP('Données projet'!$B$11,Paramètres!$A$1:$I$89,7,0))</f>
        <v>0.43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163.08881971595278</v>
      </c>
      <c r="BQ83" s="23">
        <f>EXP(-LN(2)/25)*BQ82+(1-EXP(-LN(2)/25))/(LN(2)/25)*Calculateur!BL83*Calculateur!BN83*VLOOKUP('Données projet'!$B$11,Paramètres!$A$1:$I$89,3,0)*0.475*44/12</f>
        <v>24.960791113459429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188.04961082941222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8.375</v>
      </c>
      <c r="N84" s="14">
        <f>IF('Données projet'!$A$36&gt;35,N83+M84-V83,IF(A84&lt;'Données projet'!$A$36,$K$205^A84,IF(A84='Données projet'!$A$36,'Données projet'!$B$36,N83+M84-V83)))</f>
        <v>183.50000000000009</v>
      </c>
      <c r="O84" s="14">
        <f>N84*VLOOKUP('Données projet'!$B$9,Paramètres!$A$1:$I$89,3,0)*VLOOKUP('Données projet'!$B$9,Paramètres!$A$1:$I$89,5,0)</f>
        <v>166.03080000000006</v>
      </c>
      <c r="P84" s="14">
        <f t="shared" si="87"/>
        <v>42.199836205349136</v>
      </c>
      <c r="Q84" s="22">
        <f t="shared" si="54"/>
        <v>362.66835805764981</v>
      </c>
      <c r="R84" s="62">
        <f t="shared" si="55"/>
        <v>656.00169139098307</v>
      </c>
      <c r="S84" s="62">
        <f ca="1">AVERAGE(OFFSET($R$3,0,0,'Données projet'!$E$9+1,1))-AVERAGE(OFFSET($H$3,0,0,'Données projet'!$E$9+1,1))</f>
        <v>430.41482167204606</v>
      </c>
      <c r="T84" s="62">
        <f t="shared" si="88"/>
        <v>177.02794100524551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21.746851045849265</v>
      </c>
      <c r="AA84" s="23">
        <f>EXP(-LN(2)/25)*AA83+(1-EXP(-LN(2)/25))/(LN(2)/25)*Calculateur!V84*Calculateur!X84*VLOOKUP('Données projet'!$B$9,Paramètres!$A$1:$I$89,3,0)*0.475*44/12</f>
        <v>15.895073037256122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37.641924083105387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1.2710188457276673E-13</v>
      </c>
      <c r="AK84" s="14">
        <f t="shared" si="89"/>
        <v>1.856866851063998E-12</v>
      </c>
      <c r="AL84" s="22">
        <f t="shared" si="58"/>
        <v>3.4554122145673649E-12</v>
      </c>
      <c r="AM84" s="62">
        <f t="shared" si="59"/>
        <v>293.33333333333678</v>
      </c>
      <c r="AN84" s="62">
        <f ca="1">AVERAGE(OFFSET($AM$3,0,0,'Données projet'!$E$10+1,1))-AVERAGE(OFFSET($H$3,0,0,'Données projet'!$E$10+1,1))</f>
        <v>507.43397352006832</v>
      </c>
      <c r="AO84" s="62">
        <f t="shared" si="90"/>
        <v>631.65579929520936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260.34051526135408</v>
      </c>
      <c r="AV84" s="23">
        <f>EXP(-LN(2)/25)*AV83+(1-EXP(-LN(2)/25))/(LN(2)/25)*Calculateur!AQ84*Calculateur!AS84*VLOOKUP('Données projet'!$B$10,Paramètres!$A$1:$I$89,3,0)*0.475*44/12</f>
        <v>27.59621999668645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287.93673525804053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1.7053025658242404E-13</v>
      </c>
      <c r="BE84" s="14">
        <f>BD84*VLOOKUP('Données projet'!$B$11,Paramètres!$A$1:$I$89,3,0)*VLOOKUP('Données projet'!$B$11,Paramètres!$A$1:$I$89,5,0)</f>
        <v>1.3301360013429075E-13</v>
      </c>
      <c r="BF84" s="14">
        <f t="shared" si="91"/>
        <v>1.9329766731057041E-12</v>
      </c>
      <c r="BG84" s="22">
        <f t="shared" si="61"/>
        <v>3.5982663925596575E-12</v>
      </c>
      <c r="BH84" s="62">
        <f t="shared" si="62"/>
        <v>293.3333333333369</v>
      </c>
      <c r="BI84" s="62">
        <f ca="1">AVERAGE(OFFSET($BH$3,0,0,'Données projet'!$E$11+1,1))-AVERAGE(OFFSET($H$3,0,0,'Données projet'!$E$11+1,1))</f>
        <v>357.65167206083379</v>
      </c>
      <c r="BJ84" s="62">
        <f t="shared" si="92"/>
        <v>341.23389735986342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159.89074743568071</v>
      </c>
      <c r="BQ84" s="23">
        <f>EXP(-LN(2)/25)*BQ83+(1-EXP(-LN(2)/25))/(LN(2)/25)*Calculateur!BL84*Calculateur!BN84*VLOOKUP('Données projet'!$B$11,Paramètres!$A$1:$I$89,3,0)*0.475*44/12</f>
        <v>24.278236967830924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184.16898440351164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8.375</v>
      </c>
      <c r="N85" s="14">
        <f>IF('Données projet'!$A$36&gt;35,N84+M85-V84,IF(A85&lt;'Données projet'!$A$36,$K$205^A85,IF(A85='Données projet'!$A$36,'Données projet'!$B$36,N84+M85-V84)))</f>
        <v>191.87500000000009</v>
      </c>
      <c r="O85" s="14">
        <f>N85*VLOOKUP('Données projet'!$B$9,Paramètres!$A$1:$I$89,3,0)*VLOOKUP('Données projet'!$B$9,Paramètres!$A$1:$I$89,5,0)</f>
        <v>173.60850000000008</v>
      </c>
      <c r="P85" s="14">
        <f t="shared" si="87"/>
        <v>43.897216930584449</v>
      </c>
      <c r="Q85" s="22">
        <f t="shared" si="54"/>
        <v>378.82245698743469</v>
      </c>
      <c r="R85" s="62">
        <f t="shared" si="55"/>
        <v>672.15579032076801</v>
      </c>
      <c r="S85" s="62">
        <f ca="1">AVERAGE(OFFSET($R$3,0,0,'Données projet'!$E$9+1,1))-AVERAGE(OFFSET($H$3,0,0,'Données projet'!$E$9+1,1))</f>
        <v>430.41482167204606</v>
      </c>
      <c r="T85" s="62">
        <f t="shared" si="88"/>
        <v>177.02794100524551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21.320408561109563</v>
      </c>
      <c r="AA85" s="23">
        <f>EXP(-LN(2)/25)*AA84+(1-EXP(-LN(2)/25))/(LN(2)/25)*Calculateur!V85*Calculateur!X85*VLOOKUP('Données projet'!$B$9,Paramètres!$A$1:$I$89,3,0)*0.475*44/12</f>
        <v>15.460421429166791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36.780829990276352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1.2710188457276673E-13</v>
      </c>
      <c r="AK85" s="14">
        <f t="shared" si="89"/>
        <v>1.856866851063998E-12</v>
      </c>
      <c r="AL85" s="22">
        <f t="shared" si="58"/>
        <v>3.4554122145673649E-12</v>
      </c>
      <c r="AM85" s="62">
        <f t="shared" si="59"/>
        <v>293.33333333333678</v>
      </c>
      <c r="AN85" s="62">
        <f ca="1">AVERAGE(OFFSET($AM$3,0,0,'Données projet'!$E$10+1,1))-AVERAGE(OFFSET($H$3,0,0,'Données projet'!$E$10+1,1))</f>
        <v>507.43397352006832</v>
      </c>
      <c r="AO85" s="62">
        <f t="shared" si="90"/>
        <v>631.65579929520936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255.23539654911383</v>
      </c>
      <c r="AV85" s="23">
        <f>EXP(-LN(2)/25)*AV84+(1-EXP(-LN(2)/25))/(LN(2)/25)*Calculateur!AQ85*Calculateur!AS85*VLOOKUP('Données projet'!$B$10,Paramètres!$A$1:$I$89,3,0)*0.475*44/12</f>
        <v>26.841599909654921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282.07699645876875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1.7053025658242404E-13</v>
      </c>
      <c r="BE85" s="14">
        <f>BD85*VLOOKUP('Données projet'!$B$11,Paramètres!$A$1:$I$89,3,0)*VLOOKUP('Données projet'!$B$11,Paramètres!$A$1:$I$89,5,0)</f>
        <v>1.3301360013429075E-13</v>
      </c>
      <c r="BF85" s="14">
        <f t="shared" si="91"/>
        <v>1.9329766731057041E-12</v>
      </c>
      <c r="BG85" s="22">
        <f t="shared" si="61"/>
        <v>3.5982663925596575E-12</v>
      </c>
      <c r="BH85" s="62">
        <f t="shared" si="62"/>
        <v>293.3333333333369</v>
      </c>
      <c r="BI85" s="62">
        <f ca="1">AVERAGE(OFFSET($BH$3,0,0,'Données projet'!$E$11+1,1))-AVERAGE(OFFSET($H$3,0,0,'Données projet'!$E$11+1,1))</f>
        <v>357.65167206083379</v>
      </c>
      <c r="BJ85" s="62">
        <f t="shared" si="92"/>
        <v>341.23389735986342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156.75538740219326</v>
      </c>
      <c r="BQ85" s="23">
        <f>EXP(-LN(2)/25)*BQ84+(1-EXP(-LN(2)/25))/(LN(2)/25)*Calculateur!BL85*Calculateur!BN85*VLOOKUP('Données projet'!$B$11,Paramètres!$A$1:$I$89,3,0)*0.475*44/12</f>
        <v>23.614347301208593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180.36973470340186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8.375</v>
      </c>
      <c r="N86" s="14">
        <f>IF('Données projet'!$A$36&gt;35,N85+M86-V85,IF(A86&lt;'Données projet'!$A$36,$K$205^A86,IF(A86='Données projet'!$A$36,'Données projet'!$B$36,N85+M86-V85)))</f>
        <v>200.25000000000009</v>
      </c>
      <c r="O86" s="14">
        <f>N86*VLOOKUP('Données projet'!$B$9,Paramètres!$A$1:$I$89,3,0)*VLOOKUP('Données projet'!$B$9,Paramètres!$A$1:$I$89,5,0)</f>
        <v>181.18620000000007</v>
      </c>
      <c r="P86" s="14">
        <f t="shared" si="87"/>
        <v>45.585992840877573</v>
      </c>
      <c r="Q86" s="22">
        <f t="shared" si="54"/>
        <v>394.96156919786182</v>
      </c>
      <c r="R86" s="62">
        <f t="shared" si="55"/>
        <v>688.29490253119513</v>
      </c>
      <c r="S86" s="62">
        <f ca="1">AVERAGE(OFFSET($R$3,0,0,'Données projet'!$E$9+1,1))-AVERAGE(OFFSET($H$3,0,0,'Données projet'!$E$9+1,1))</f>
        <v>430.41482167204606</v>
      </c>
      <c r="T86" s="62">
        <f t="shared" si="88"/>
        <v>177.02794100524551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20.902328353391372</v>
      </c>
      <c r="AA86" s="23">
        <f>EXP(-LN(2)/25)*AA85+(1-EXP(-LN(2)/25))/(LN(2)/25)*Calculateur!V86*Calculateur!X86*VLOOKUP('Données projet'!$B$9,Paramètres!$A$1:$I$89,3,0)*0.475*44/12</f>
        <v>15.037655392157998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35.93998374554937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1.2710188457276673E-13</v>
      </c>
      <c r="AK86" s="14">
        <f t="shared" si="89"/>
        <v>1.856866851063998E-12</v>
      </c>
      <c r="AL86" s="22">
        <f t="shared" si="58"/>
        <v>3.4554122145673649E-12</v>
      </c>
      <c r="AM86" s="62">
        <f t="shared" si="59"/>
        <v>293.33333333333678</v>
      </c>
      <c r="AN86" s="62">
        <f ca="1">AVERAGE(OFFSET($AM$3,0,0,'Données projet'!$E$10+1,1))-AVERAGE(OFFSET($H$3,0,0,'Données projet'!$E$10+1,1))</f>
        <v>507.43397352006832</v>
      </c>
      <c r="AO86" s="62">
        <f t="shared" si="90"/>
        <v>631.65579929520936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250.23038610100565</v>
      </c>
      <c r="AV86" s="23">
        <f>EXP(-LN(2)/25)*AV85+(1-EXP(-LN(2)/25))/(LN(2)/25)*Calculateur!AQ86*Calculateur!AS86*VLOOKUP('Données projet'!$B$10,Paramètres!$A$1:$I$89,3,0)*0.475*44/12</f>
        <v>26.107614948587013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276.33800104959266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1.7053025658242404E-13</v>
      </c>
      <c r="BE86" s="14">
        <f>BD86*VLOOKUP('Données projet'!$B$11,Paramètres!$A$1:$I$89,3,0)*VLOOKUP('Données projet'!$B$11,Paramètres!$A$1:$I$89,5,0)</f>
        <v>1.3301360013429075E-13</v>
      </c>
      <c r="BF86" s="14">
        <f t="shared" si="91"/>
        <v>1.9329766731057041E-12</v>
      </c>
      <c r="BG86" s="22">
        <f t="shared" si="61"/>
        <v>3.5982663925596575E-12</v>
      </c>
      <c r="BH86" s="62">
        <f t="shared" si="62"/>
        <v>293.3333333333369</v>
      </c>
      <c r="BI86" s="62">
        <f ca="1">AVERAGE(OFFSET($BH$3,0,0,'Données projet'!$E$11+1,1))-AVERAGE(OFFSET($H$3,0,0,'Données projet'!$E$11+1,1))</f>
        <v>357.65167206083379</v>
      </c>
      <c r="BJ86" s="62">
        <f t="shared" si="92"/>
        <v>341.23389735986342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153.68150986658173</v>
      </c>
      <c r="BQ86" s="23">
        <f>EXP(-LN(2)/25)*BQ85+(1-EXP(-LN(2)/25))/(LN(2)/25)*Calculateur!BL86*Calculateur!BN86*VLOOKUP('Données projet'!$B$11,Paramètres!$A$1:$I$89,3,0)*0.475*44/12</f>
        <v>22.968611732432489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176.65012159901423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8.375</v>
      </c>
      <c r="N87" s="14">
        <f>IF('Données projet'!$A$36&gt;35,N86+M87-V86,IF(A87&lt;'Données projet'!$A$36,$K$205^A87,IF(A87='Données projet'!$A$36,'Données projet'!$B$36,N86+M87-V86)))</f>
        <v>208.62500000000009</v>
      </c>
      <c r="O87" s="14">
        <f>N87*VLOOKUP('Données projet'!$B$9,Paramètres!$A$1:$I$89,3,0)*VLOOKUP('Données projet'!$B$9,Paramètres!$A$1:$I$89,5,0)</f>
        <v>188.76390000000006</v>
      </c>
      <c r="P87" s="14">
        <f t="shared" si="87"/>
        <v>47.26656496477819</v>
      </c>
      <c r="Q87" s="22">
        <f t="shared" si="54"/>
        <v>411.08639314698871</v>
      </c>
      <c r="R87" s="62">
        <f t="shared" si="55"/>
        <v>704.41972648032197</v>
      </c>
      <c r="S87" s="62">
        <f ca="1">AVERAGE(OFFSET($R$3,0,0,'Données projet'!$E$9+1,1))-AVERAGE(OFFSET($H$3,0,0,'Données projet'!$E$9+1,1))</f>
        <v>430.41482167204606</v>
      </c>
      <c r="T87" s="62">
        <f t="shared" si="88"/>
        <v>177.02794100524551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20.492446443542789</v>
      </c>
      <c r="AA87" s="23">
        <f>EXP(-LN(2)/25)*AA86+(1-EXP(-LN(2)/25))/(LN(2)/25)*Calculateur!V87*Calculateur!X87*VLOOKUP('Données projet'!$B$9,Paramètres!$A$1:$I$89,3,0)*0.475*44/12</f>
        <v>14.626449914663509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35.1188963582063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1.2710188457276673E-13</v>
      </c>
      <c r="AK87" s="14">
        <f t="shared" si="89"/>
        <v>1.856866851063998E-12</v>
      </c>
      <c r="AL87" s="22">
        <f t="shared" si="58"/>
        <v>3.4554122145673649E-12</v>
      </c>
      <c r="AM87" s="62">
        <f t="shared" si="59"/>
        <v>293.33333333333678</v>
      </c>
      <c r="AN87" s="62">
        <f ca="1">AVERAGE(OFFSET($AM$3,0,0,'Données projet'!$E$10+1,1))-AVERAGE(OFFSET($H$3,0,0,'Données projet'!$E$10+1,1))</f>
        <v>507.43397352006832</v>
      </c>
      <c r="AO87" s="62">
        <f t="shared" si="90"/>
        <v>631.65579929520936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245.32352085502993</v>
      </c>
      <c r="AV87" s="23">
        <f>EXP(-LN(2)/25)*AV86+(1-EXP(-LN(2)/25))/(LN(2)/25)*Calculateur!AQ87*Calculateur!AS87*VLOOKUP('Données projet'!$B$10,Paramètres!$A$1:$I$89,3,0)*0.475*44/12</f>
        <v>25.393700844878101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270.71722169990801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1.7053025658242404E-13</v>
      </c>
      <c r="BE87" s="14">
        <f>BD87*VLOOKUP('Données projet'!$B$11,Paramètres!$A$1:$I$89,3,0)*VLOOKUP('Données projet'!$B$11,Paramètres!$A$1:$I$89,5,0)</f>
        <v>1.3301360013429075E-13</v>
      </c>
      <c r="BF87" s="14">
        <f t="shared" si="91"/>
        <v>1.9329766731057041E-12</v>
      </c>
      <c r="BG87" s="22">
        <f t="shared" si="61"/>
        <v>3.5982663925596575E-12</v>
      </c>
      <c r="BH87" s="62">
        <f t="shared" si="62"/>
        <v>293.3333333333369</v>
      </c>
      <c r="BI87" s="62">
        <f ca="1">AVERAGE(OFFSET($BH$3,0,0,'Données projet'!$E$11+1,1))-AVERAGE(OFFSET($H$3,0,0,'Données projet'!$E$11+1,1))</f>
        <v>357.65167206083379</v>
      </c>
      <c r="BJ87" s="62">
        <f t="shared" si="92"/>
        <v>341.23389735986342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150.66790919456338</v>
      </c>
      <c r="BQ87" s="23">
        <f>EXP(-LN(2)/25)*BQ86+(1-EXP(-LN(2)/25))/(LN(2)/25)*Calculateur!BL87*Calculateur!BN87*VLOOKUP('Données projet'!$B$11,Paramètres!$A$1:$I$89,3,0)*0.475*44/12</f>
        <v>22.340533836742328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173.00844303130572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217</v>
      </c>
      <c r="L88" s="13">
        <f>VLOOKUP(A88,'Données projet'!$A$35:$I$55,9,0)</f>
        <v>8.375</v>
      </c>
      <c r="M88" s="13">
        <f t="array" ref="M88">INDEX(L:L,MIN(IF(ISNUMBER(L88:L284),ROW(L88:L284),"")))</f>
        <v>8.375</v>
      </c>
      <c r="N88" s="14">
        <f>IF('Données projet'!$A$36&gt;35,N87+M88-V87,IF(A88&lt;'Données projet'!$A$36,$K$205^A88,IF(A88='Données projet'!$A$36,'Données projet'!$B$36,N87+M88-V87)))</f>
        <v>217.00000000000009</v>
      </c>
      <c r="O88" s="14">
        <f>N88*VLOOKUP('Données projet'!$B$9,Paramètres!$A$1:$I$89,3,0)*VLOOKUP('Données projet'!$B$9,Paramètres!$A$1:$I$89,5,0)</f>
        <v>196.34160000000008</v>
      </c>
      <c r="P88" s="14">
        <f t="shared" si="87"/>
        <v>48.939300310809159</v>
      </c>
      <c r="Q88" s="22">
        <f t="shared" si="54"/>
        <v>427.19756804132612</v>
      </c>
      <c r="R88" s="62">
        <f t="shared" si="55"/>
        <v>720.53090137465938</v>
      </c>
      <c r="S88" s="62">
        <f ca="1">AVERAGE(OFFSET($R$3,0,0,'Données projet'!$E$9+1,1))-AVERAGE(OFFSET($H$3,0,0,'Données projet'!$E$9+1,1))</f>
        <v>430.41482167204606</v>
      </c>
      <c r="T88" s="62">
        <f t="shared" si="88"/>
        <v>177.02794100524551</v>
      </c>
      <c r="U88" s="16">
        <f>IF(ISNA(VLOOKUP(A88,'Données projet'!$A$35:$I$55,3,0)),0,VLOOKUP(A88,'Données projet'!$A$35:$I$55,3,0))</f>
        <v>6</v>
      </c>
      <c r="V88" s="16">
        <f>IF(ISNA(VLOOKUP(A88,'Données projet'!$A$35:$I$55,4,0)),0,VLOOKUP(A88,'Données projet'!$A$35:$I$55,4,0))</f>
        <v>34</v>
      </c>
      <c r="W88" s="17">
        <f>IF(ISNA(VLOOKUP(A88,'Données projet'!$A$35:$I$55,5,0)),0%,VLOOKUP(A88,'Données projet'!$A$35:$I$55,5,0)*VLOOKUP('Données projet'!$B$9,Paramètres!$A$1:$I$89,7,0))</f>
        <v>0.215</v>
      </c>
      <c r="X88" s="17">
        <f>IF(ISNA(VLOOKUP(A88,'Données projet'!$A$35:$I$55,6,0)),0%,VLOOKUP(A88,'Données projet'!$A$35:$I$55,6,0)*VLOOKUP('Données projet'!$B$9,Paramètres!$A$1:$I$89,7,0))</f>
        <v>0.17200000000000001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27.402280439567384</v>
      </c>
      <c r="AA88" s="23">
        <f>EXP(-LN(2)/25)*AA87+(1-EXP(-LN(2)/25))/(LN(2)/25)*Calculateur!V88*Calculateur!X88*VLOOKUP('Données projet'!$B$9,Paramètres!$A$1:$I$89,3,0)*0.475*44/12</f>
        <v>20.052800478901361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47.455080918468745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1.2710188457276673E-13</v>
      </c>
      <c r="AK88" s="14">
        <f t="shared" si="89"/>
        <v>1.856866851063998E-12</v>
      </c>
      <c r="AL88" s="22">
        <f t="shared" si="58"/>
        <v>3.4554122145673649E-12</v>
      </c>
      <c r="AM88" s="62">
        <f t="shared" si="59"/>
        <v>293.33333333333678</v>
      </c>
      <c r="AN88" s="62">
        <f ca="1">AVERAGE(OFFSET($AM$3,0,0,'Données projet'!$E$10+1,1))-AVERAGE(OFFSET($H$3,0,0,'Données projet'!$E$10+1,1))</f>
        <v>507.43397352006832</v>
      </c>
      <c r="AO88" s="62">
        <f t="shared" si="90"/>
        <v>631.65579929520936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240.51287624363553</v>
      </c>
      <c r="AV88" s="23">
        <f>EXP(-LN(2)/25)*AV87+(1-EXP(-LN(2)/25))/(LN(2)/25)*Calculateur!AQ88*Calculateur!AS88*VLOOKUP('Données projet'!$B$10,Paramètres!$A$1:$I$89,3,0)*0.475*44/12</f>
        <v>24.699308759878221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265.21218500351375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1.7053025658242404E-13</v>
      </c>
      <c r="BE88" s="14">
        <f>BD88*VLOOKUP('Données projet'!$B$11,Paramètres!$A$1:$I$89,3,0)*VLOOKUP('Données projet'!$B$11,Paramètres!$A$1:$I$89,5,0)</f>
        <v>1.3301360013429075E-13</v>
      </c>
      <c r="BF88" s="14">
        <f t="shared" si="91"/>
        <v>1.9329766731057041E-12</v>
      </c>
      <c r="BG88" s="22">
        <f t="shared" si="61"/>
        <v>3.5982663925596575E-12</v>
      </c>
      <c r="BH88" s="62">
        <f t="shared" si="62"/>
        <v>293.3333333333369</v>
      </c>
      <c r="BI88" s="62">
        <f ca="1">AVERAGE(OFFSET($BH$3,0,0,'Données projet'!$E$11+1,1))-AVERAGE(OFFSET($H$3,0,0,'Données projet'!$E$11+1,1))</f>
        <v>357.65167206083379</v>
      </c>
      <c r="BJ88" s="62">
        <f t="shared" si="92"/>
        <v>341.23389735986342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147.71340339360839</v>
      </c>
      <c r="BQ88" s="23">
        <f>EXP(-LN(2)/25)*BQ87+(1-EXP(-LN(2)/25))/(LN(2)/25)*Calculateur!BL88*Calculateur!BN88*VLOOKUP('Données projet'!$B$11,Paramètres!$A$1:$I$89,3,0)*0.475*44/12</f>
        <v>21.729630764138996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169.44303415774738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7.2</v>
      </c>
      <c r="N89" s="14">
        <f>IF('Données projet'!$A$36&gt;35,N88+M89-V88,IF(A89&lt;'Données projet'!$A$36,$K$205^A89,IF(A89='Données projet'!$A$36,'Données projet'!$B$36,N88+M89-V88)))</f>
        <v>190.20000000000007</v>
      </c>
      <c r="O89" s="14">
        <f>N89*VLOOKUP('Données projet'!$B$9,Paramètres!$A$1:$I$89,3,0)*VLOOKUP('Données projet'!$B$9,Paramètres!$A$1:$I$89,5,0)</f>
        <v>172.09296000000006</v>
      </c>
      <c r="P89" s="14">
        <f t="shared" si="87"/>
        <v>43.558442654163684</v>
      </c>
      <c r="Q89" s="22">
        <f t="shared" si="54"/>
        <v>375.59285962266853</v>
      </c>
      <c r="R89" s="62">
        <f t="shared" si="55"/>
        <v>668.92619295600184</v>
      </c>
      <c r="S89" s="62">
        <f ca="1">AVERAGE(OFFSET($R$3,0,0,'Données projet'!$E$9+1,1))-AVERAGE(OFFSET($H$3,0,0,'Données projet'!$E$9+1,1))</f>
        <v>430.41482167204606</v>
      </c>
      <c r="T89" s="62">
        <f t="shared" si="88"/>
        <v>177.02794100524551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26.864938433888192</v>
      </c>
      <c r="AA89" s="23">
        <f>EXP(-LN(2)/25)*AA88+(1-EXP(-LN(2)/25))/(LN(2)/25)*Calculateur!V89*Calculateur!X89*VLOOKUP('Données projet'!$B$9,Paramètres!$A$1:$I$89,3,0)*0.475*44/12</f>
        <v>19.504455595274859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46.369394029163047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1.2710188457276673E-13</v>
      </c>
      <c r="AK89" s="14">
        <f t="shared" si="89"/>
        <v>1.856866851063998E-12</v>
      </c>
      <c r="AL89" s="22">
        <f t="shared" si="58"/>
        <v>3.4554122145673649E-12</v>
      </c>
      <c r="AM89" s="62">
        <f t="shared" si="59"/>
        <v>293.33333333333678</v>
      </c>
      <c r="AN89" s="62">
        <f ca="1">AVERAGE(OFFSET($AM$3,0,0,'Données projet'!$E$10+1,1))-AVERAGE(OFFSET($H$3,0,0,'Données projet'!$E$10+1,1))</f>
        <v>507.43397352006832</v>
      </c>
      <c r="AO89" s="62">
        <f t="shared" si="90"/>
        <v>631.65579929520936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235.79656543886708</v>
      </c>
      <c r="AV89" s="23">
        <f>EXP(-LN(2)/25)*AV88+(1-EXP(-LN(2)/25))/(LN(2)/25)*Calculateur!AQ89*Calculateur!AS89*VLOOKUP('Données projet'!$B$10,Paramètres!$A$1:$I$89,3,0)*0.475*44/12</f>
        <v>24.023904862959153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259.82047030182622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1.7053025658242404E-13</v>
      </c>
      <c r="BE89" s="14">
        <f>BD89*VLOOKUP('Données projet'!$B$11,Paramètres!$A$1:$I$89,3,0)*VLOOKUP('Données projet'!$B$11,Paramètres!$A$1:$I$89,5,0)</f>
        <v>1.3301360013429075E-13</v>
      </c>
      <c r="BF89" s="14">
        <f t="shared" si="91"/>
        <v>1.9329766731057041E-12</v>
      </c>
      <c r="BG89" s="22">
        <f t="shared" si="61"/>
        <v>3.5982663925596575E-12</v>
      </c>
      <c r="BH89" s="62">
        <f t="shared" si="62"/>
        <v>293.3333333333369</v>
      </c>
      <c r="BI89" s="62">
        <f ca="1">AVERAGE(OFFSET($BH$3,0,0,'Données projet'!$E$11+1,1))-AVERAGE(OFFSET($H$3,0,0,'Données projet'!$E$11+1,1))</f>
        <v>357.65167206083379</v>
      </c>
      <c r="BJ89" s="62">
        <f t="shared" si="92"/>
        <v>341.23389735986342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144.81683364933954</v>
      </c>
      <c r="BQ89" s="23">
        <f>EXP(-LN(2)/25)*BQ88+(1-EXP(-LN(2)/25))/(LN(2)/25)*Calculateur!BL89*Calculateur!BN89*VLOOKUP('Données projet'!$B$11,Paramètres!$A$1:$I$89,3,0)*0.475*44/12</f>
        <v>21.135432868181997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165.95226651752154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7.2</v>
      </c>
      <c r="N90" s="14">
        <f>IF('Données projet'!$A$36&gt;35,N89+M90-V89,IF(A90&lt;'Données projet'!$A$36,$K$205^A90,IF(A90='Données projet'!$A$36,'Données projet'!$B$36,N89+M90-V89)))</f>
        <v>197.40000000000006</v>
      </c>
      <c r="O90" s="14">
        <f>N90*VLOOKUP('Données projet'!$B$9,Paramètres!$A$1:$I$89,3,0)*VLOOKUP('Données projet'!$B$9,Paramètres!$A$1:$I$89,5,0)</f>
        <v>178.60752000000005</v>
      </c>
      <c r="P90" s="14">
        <f t="shared" si="87"/>
        <v>45.012245134905669</v>
      </c>
      <c r="Q90" s="22">
        <f t="shared" si="54"/>
        <v>389.47109094329409</v>
      </c>
      <c r="R90" s="62">
        <f t="shared" si="55"/>
        <v>682.8044242766274</v>
      </c>
      <c r="S90" s="62">
        <f ca="1">AVERAGE(OFFSET($R$3,0,0,'Données projet'!$E$9+1,1))-AVERAGE(OFFSET($H$3,0,0,'Données projet'!$E$9+1,1))</f>
        <v>430.41482167204606</v>
      </c>
      <c r="T90" s="62">
        <f t="shared" si="88"/>
        <v>177.02794100524551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26.338133377194108</v>
      </c>
      <c r="AA90" s="23">
        <f>EXP(-LN(2)/25)*AA89+(1-EXP(-LN(2)/25))/(LN(2)/25)*Calculateur!V90*Calculateur!X90*VLOOKUP('Données projet'!$B$9,Paramètres!$A$1:$I$89,3,0)*0.475*44/12</f>
        <v>18.971105231327325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45.309238608521433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1.2710188457276673E-13</v>
      </c>
      <c r="AK90" s="14">
        <f t="shared" si="89"/>
        <v>1.856866851063998E-12</v>
      </c>
      <c r="AL90" s="22">
        <f t="shared" si="58"/>
        <v>3.4554122145673649E-12</v>
      </c>
      <c r="AM90" s="62">
        <f t="shared" si="59"/>
        <v>293.33333333333678</v>
      </c>
      <c r="AN90" s="62">
        <f ca="1">AVERAGE(OFFSET($AM$3,0,0,'Données projet'!$E$10+1,1))-AVERAGE(OFFSET($H$3,0,0,'Données projet'!$E$10+1,1))</f>
        <v>507.43397352006832</v>
      </c>
      <c r="AO90" s="62">
        <f t="shared" si="90"/>
        <v>631.65579929520936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231.17273861231459</v>
      </c>
      <c r="AV90" s="23">
        <f>EXP(-LN(2)/25)*AV89+(1-EXP(-LN(2)/25))/(LN(2)/25)*Calculateur!AQ90*Calculateur!AS90*VLOOKUP('Données projet'!$B$10,Paramètres!$A$1:$I$89,3,0)*0.475*44/12</f>
        <v>23.366969921119285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254.53970853343387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1.7053025658242404E-13</v>
      </c>
      <c r="BE90" s="14">
        <f>BD90*VLOOKUP('Données projet'!$B$11,Paramètres!$A$1:$I$89,3,0)*VLOOKUP('Données projet'!$B$11,Paramètres!$A$1:$I$89,5,0)</f>
        <v>1.3301360013429075E-13</v>
      </c>
      <c r="BF90" s="14">
        <f t="shared" si="91"/>
        <v>1.9329766731057041E-12</v>
      </c>
      <c r="BG90" s="22">
        <f t="shared" si="61"/>
        <v>3.5982663925596575E-12</v>
      </c>
      <c r="BH90" s="62">
        <f t="shared" si="62"/>
        <v>293.3333333333369</v>
      </c>
      <c r="BI90" s="62">
        <f ca="1">AVERAGE(OFFSET($BH$3,0,0,'Données projet'!$E$11+1,1))-AVERAGE(OFFSET($H$3,0,0,'Données projet'!$E$11+1,1))</f>
        <v>357.65167206083379</v>
      </c>
      <c r="BJ90" s="62">
        <f t="shared" si="92"/>
        <v>341.23389735986342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141.97706387102269</v>
      </c>
      <c r="BQ90" s="23">
        <f>EXP(-LN(2)/25)*BQ89+(1-EXP(-LN(2)/25))/(LN(2)/25)*Calculateur!BL90*Calculateur!BN90*VLOOKUP('Données projet'!$B$11,Paramètres!$A$1:$I$89,3,0)*0.475*44/12</f>
        <v>20.557483344937452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162.53454721596015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7.2</v>
      </c>
      <c r="N91" s="14">
        <f>IF('Données projet'!$A$36&gt;35,N90+M91-V90,IF(A91&lt;'Données projet'!$A$36,$K$205^A91,IF(A91='Données projet'!$A$36,'Données projet'!$B$36,N90+M91-V90)))</f>
        <v>204.60000000000005</v>
      </c>
      <c r="O91" s="14">
        <f>N91*VLOOKUP('Données projet'!$B$9,Paramètres!$A$1:$I$89,3,0)*VLOOKUP('Données projet'!$B$9,Paramètres!$A$1:$I$89,5,0)</f>
        <v>185.12208000000004</v>
      </c>
      <c r="P91" s="14">
        <f t="shared" si="87"/>
        <v>46.459887003478677</v>
      </c>
      <c r="Q91" s="22">
        <f t="shared" si="54"/>
        <v>403.33859253105874</v>
      </c>
      <c r="R91" s="62">
        <f t="shared" si="55"/>
        <v>696.67192586439205</v>
      </c>
      <c r="S91" s="62">
        <f ca="1">AVERAGE(OFFSET($R$3,0,0,'Données projet'!$E$9+1,1))-AVERAGE(OFFSET($H$3,0,0,'Données projet'!$E$9+1,1))</f>
        <v>430.41482167204606</v>
      </c>
      <c r="T91" s="62">
        <f t="shared" si="88"/>
        <v>177.02794100524551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25.821658646342435</v>
      </c>
      <c r="AA91" s="23">
        <f>EXP(-LN(2)/25)*AA90+(1-EXP(-LN(2)/25))/(LN(2)/25)*Calculateur!V91*Calculateur!X91*VLOOKUP('Données projet'!$B$9,Paramètres!$A$1:$I$89,3,0)*0.475*44/12</f>
        <v>18.452339361129614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44.273998007472045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1.2710188457276673E-13</v>
      </c>
      <c r="AK91" s="14">
        <f t="shared" si="89"/>
        <v>1.856866851063998E-12</v>
      </c>
      <c r="AL91" s="22">
        <f t="shared" si="58"/>
        <v>3.4554122145673649E-12</v>
      </c>
      <c r="AM91" s="62">
        <f t="shared" si="59"/>
        <v>293.33333333333678</v>
      </c>
      <c r="AN91" s="62">
        <f ca="1">AVERAGE(OFFSET($AM$3,0,0,'Données projet'!$E$10+1,1))-AVERAGE(OFFSET($H$3,0,0,'Données projet'!$E$10+1,1))</f>
        <v>507.43397352006832</v>
      </c>
      <c r="AO91" s="62">
        <f t="shared" si="90"/>
        <v>631.65579929520936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226.63958220957491</v>
      </c>
      <c r="AV91" s="23">
        <f>EXP(-LN(2)/25)*AV90+(1-EXP(-LN(2)/25))/(LN(2)/25)*Calculateur!AQ91*Calculateur!AS91*VLOOKUP('Données projet'!$B$10,Paramètres!$A$1:$I$89,3,0)*0.475*44/12</f>
        <v>22.727998899810736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249.36758110938564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1.7053025658242404E-13</v>
      </c>
      <c r="BE91" s="14">
        <f>BD91*VLOOKUP('Données projet'!$B$11,Paramètres!$A$1:$I$89,3,0)*VLOOKUP('Données projet'!$B$11,Paramètres!$A$1:$I$89,5,0)</f>
        <v>1.3301360013429075E-13</v>
      </c>
      <c r="BF91" s="14">
        <f t="shared" si="91"/>
        <v>1.9329766731057041E-12</v>
      </c>
      <c r="BG91" s="22">
        <f t="shared" si="61"/>
        <v>3.5982663925596575E-12</v>
      </c>
      <c r="BH91" s="62">
        <f t="shared" si="62"/>
        <v>293.3333333333369</v>
      </c>
      <c r="BI91" s="62">
        <f ca="1">AVERAGE(OFFSET($BH$3,0,0,'Données projet'!$E$11+1,1))-AVERAGE(OFFSET($H$3,0,0,'Données projet'!$E$11+1,1))</f>
        <v>357.65167206083379</v>
      </c>
      <c r="BJ91" s="62">
        <f t="shared" si="92"/>
        <v>341.23389735986342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139.19298024597012</v>
      </c>
      <c r="BQ91" s="23">
        <f>EXP(-LN(2)/25)*BQ90+(1-EXP(-LN(2)/25))/(LN(2)/25)*Calculateur!BL91*Calculateur!BN91*VLOOKUP('Données projet'!$B$11,Paramètres!$A$1:$I$89,3,0)*0.475*44/12</f>
        <v>19.995337881799074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159.18831812776921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7.2</v>
      </c>
      <c r="N92" s="14">
        <f>IF('Données projet'!$A$36&gt;35,N91+M92-V91,IF(A92&lt;'Données projet'!$A$36,$K$205^A92,IF(A92='Données projet'!$A$36,'Données projet'!$B$36,N91+M92-V91)))</f>
        <v>211.80000000000004</v>
      </c>
      <c r="O92" s="14">
        <f>N92*VLOOKUP('Données projet'!$B$9,Paramètres!$A$1:$I$89,3,0)*VLOOKUP('Données projet'!$B$9,Paramètres!$A$1:$I$89,5,0)</f>
        <v>191.63664000000003</v>
      </c>
      <c r="P92" s="14">
        <f t="shared" si="87"/>
        <v>47.901609897009187</v>
      </c>
      <c r="Q92" s="22">
        <f t="shared" si="54"/>
        <v>417.19578523729109</v>
      </c>
      <c r="R92" s="62">
        <f t="shared" si="55"/>
        <v>710.52911857062441</v>
      </c>
      <c r="S92" s="62">
        <f ca="1">AVERAGE(OFFSET($R$3,0,0,'Données projet'!$E$9+1,1))-AVERAGE(OFFSET($H$3,0,0,'Données projet'!$E$9+1,1))</f>
        <v>430.41482167204606</v>
      </c>
      <c r="T92" s="62">
        <f t="shared" si="88"/>
        <v>177.02794100524551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25.315311669944286</v>
      </c>
      <c r="AA92" s="23">
        <f>EXP(-LN(2)/25)*AA91+(1-EXP(-LN(2)/25))/(LN(2)/25)*Calculateur!V92*Calculateur!X92*VLOOKUP('Données projet'!$B$9,Paramètres!$A$1:$I$89,3,0)*0.475*44/12</f>
        <v>17.947759170933171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43.263070840877461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1.2710188457276673E-13</v>
      </c>
      <c r="AK92" s="14">
        <f t="shared" si="89"/>
        <v>1.856866851063998E-12</v>
      </c>
      <c r="AL92" s="22">
        <f t="shared" si="58"/>
        <v>3.4554122145673649E-12</v>
      </c>
      <c r="AM92" s="62">
        <f t="shared" si="59"/>
        <v>293.33333333333678</v>
      </c>
      <c r="AN92" s="62">
        <f ca="1">AVERAGE(OFFSET($AM$3,0,0,'Données projet'!$E$10+1,1))-AVERAGE(OFFSET($H$3,0,0,'Données projet'!$E$10+1,1))</f>
        <v>507.43397352006832</v>
      </c>
      <c r="AO92" s="62">
        <f t="shared" si="90"/>
        <v>631.65579929520936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222.19531823894059</v>
      </c>
      <c r="AV92" s="23">
        <f>EXP(-LN(2)/25)*AV91+(1-EXP(-LN(2)/25))/(LN(2)/25)*Calculateur!AQ92*Calculateur!AS92*VLOOKUP('Données projet'!$B$10,Paramètres!$A$1:$I$89,3,0)*0.475*44/12</f>
        <v>22.106500574681895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244.30181881362248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1.7053025658242404E-13</v>
      </c>
      <c r="BE92" s="14">
        <f>BD92*VLOOKUP('Données projet'!$B$11,Paramètres!$A$1:$I$89,3,0)*VLOOKUP('Données projet'!$B$11,Paramètres!$A$1:$I$89,5,0)</f>
        <v>1.3301360013429075E-13</v>
      </c>
      <c r="BF92" s="14">
        <f t="shared" si="91"/>
        <v>1.9329766731057041E-12</v>
      </c>
      <c r="BG92" s="22">
        <f t="shared" si="61"/>
        <v>3.5982663925596575E-12</v>
      </c>
      <c r="BH92" s="62">
        <f t="shared" si="62"/>
        <v>293.3333333333369</v>
      </c>
      <c r="BI92" s="62">
        <f ca="1">AVERAGE(OFFSET($BH$3,0,0,'Données projet'!$E$11+1,1))-AVERAGE(OFFSET($H$3,0,0,'Données projet'!$E$11+1,1))</f>
        <v>357.65167206083379</v>
      </c>
      <c r="BJ92" s="62">
        <f t="shared" si="92"/>
        <v>341.23389735986342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136.46349080268149</v>
      </c>
      <c r="BQ92" s="23">
        <f>EXP(-LN(2)/25)*BQ91+(1-EXP(-LN(2)/25))/(LN(2)/25)*Calculateur!BL92*Calculateur!BN92*VLOOKUP('Données projet'!$B$11,Paramètres!$A$1:$I$89,3,0)*0.475*44/12</f>
        <v>19.448564315912158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155.91205511859366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7.2</v>
      </c>
      <c r="N93" s="14">
        <f>IF('Données projet'!$A$36&gt;35,N92+M93-V92,IF(A93&lt;'Données projet'!$A$36,$K$205^A93,IF(A93='Données projet'!$A$36,'Données projet'!$B$36,N92+M93-V92)))</f>
        <v>219.00000000000003</v>
      </c>
      <c r="O93" s="14">
        <f>N93*VLOOKUP('Données projet'!$B$9,Paramètres!$A$1:$I$89,3,0)*VLOOKUP('Données projet'!$B$9,Paramètres!$A$1:$I$89,5,0)</f>
        <v>198.15120000000002</v>
      </c>
      <c r="P93" s="14">
        <f t="shared" si="87"/>
        <v>49.337638092068957</v>
      </c>
      <c r="Q93" s="22">
        <f t="shared" si="54"/>
        <v>431.04305967702015</v>
      </c>
      <c r="R93" s="62">
        <f t="shared" si="55"/>
        <v>724.37639301035347</v>
      </c>
      <c r="S93" s="62">
        <f ca="1">AVERAGE(OFFSET($R$3,0,0,'Données projet'!$E$9+1,1))-AVERAGE(OFFSET($H$3,0,0,'Données projet'!$E$9+1,1))</f>
        <v>430.41482167204606</v>
      </c>
      <c r="T93" s="62">
        <f t="shared" si="88"/>
        <v>177.02794100524551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24.818893848912143</v>
      </c>
      <c r="AA93" s="23">
        <f>EXP(-LN(2)/25)*AA92+(1-EXP(-LN(2)/25))/(LN(2)/25)*Calculateur!V93*Calculateur!X93*VLOOKUP('Données projet'!$B$9,Paramètres!$A$1:$I$89,3,0)*0.475*44/12</f>
        <v>17.45697675257237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42.275870601484513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1.2710188457276673E-13</v>
      </c>
      <c r="AK93" s="14">
        <f t="shared" si="89"/>
        <v>1.856866851063998E-12</v>
      </c>
      <c r="AL93" s="22">
        <f t="shared" si="58"/>
        <v>3.4554122145673649E-12</v>
      </c>
      <c r="AM93" s="62">
        <f t="shared" si="59"/>
        <v>293.33333333333678</v>
      </c>
      <c r="AN93" s="62">
        <f ca="1">AVERAGE(OFFSET($AM$3,0,0,'Données projet'!$E$10+1,1))-AVERAGE(OFFSET($H$3,0,0,'Données projet'!$E$10+1,1))</f>
        <v>507.43397352006832</v>
      </c>
      <c r="AO93" s="62">
        <f t="shared" si="90"/>
        <v>631.65579929520936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217.83820357403704</v>
      </c>
      <c r="AV93" s="23">
        <f>EXP(-LN(2)/25)*AV92+(1-EXP(-LN(2)/25))/(LN(2)/25)*Calculateur!AQ93*Calculateur!AS93*VLOOKUP('Données projet'!$B$10,Paramètres!$A$1:$I$89,3,0)*0.475*44/12</f>
        <v>21.50199715393688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239.34020072797392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1.7053025658242404E-13</v>
      </c>
      <c r="BE93" s="14">
        <f>BD93*VLOOKUP('Données projet'!$B$11,Paramètres!$A$1:$I$89,3,0)*VLOOKUP('Données projet'!$B$11,Paramètres!$A$1:$I$89,5,0)</f>
        <v>1.3301360013429075E-13</v>
      </c>
      <c r="BF93" s="14">
        <f t="shared" si="91"/>
        <v>1.9329766731057041E-12</v>
      </c>
      <c r="BG93" s="22">
        <f t="shared" si="61"/>
        <v>3.5982663925596575E-12</v>
      </c>
      <c r="BH93" s="62">
        <f t="shared" si="62"/>
        <v>293.3333333333369</v>
      </c>
      <c r="BI93" s="62">
        <f ca="1">AVERAGE(OFFSET($BH$3,0,0,'Données projet'!$E$11+1,1))-AVERAGE(OFFSET($H$3,0,0,'Données projet'!$E$11+1,1))</f>
        <v>357.65167206083379</v>
      </c>
      <c r="BJ93" s="62">
        <f t="shared" si="92"/>
        <v>341.23389735986342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133.78752498255156</v>
      </c>
      <c r="BQ93" s="23">
        <f>EXP(-LN(2)/25)*BQ92+(1-EXP(-LN(2)/25))/(LN(2)/25)*Calculateur!BL93*Calculateur!BN93*VLOOKUP('Données projet'!$B$11,Paramètres!$A$1:$I$89,3,0)*0.475*44/12</f>
        <v>18.916742301937994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152.70426728448956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7.2</v>
      </c>
      <c r="N94" s="14">
        <f>IF('Données projet'!$A$36&gt;35,N93+M94-V93,IF(A94&lt;'Données projet'!$A$36,$K$205^A94,IF(A94='Données projet'!$A$36,'Données projet'!$B$36,N93+M94-V93)))</f>
        <v>226.20000000000002</v>
      </c>
      <c r="O94" s="14">
        <f>N94*VLOOKUP('Données projet'!$B$9,Paramètres!$A$1:$I$89,3,0)*VLOOKUP('Données projet'!$B$9,Paramètres!$A$1:$I$89,5,0)</f>
        <v>204.66576000000001</v>
      </c>
      <c r="P94" s="14">
        <f t="shared" si="87"/>
        <v>50.768180281292906</v>
      </c>
      <c r="Q94" s="22">
        <f t="shared" si="54"/>
        <v>444.88077932325183</v>
      </c>
      <c r="R94" s="62">
        <f t="shared" si="55"/>
        <v>738.21411265658514</v>
      </c>
      <c r="S94" s="62">
        <f ca="1">AVERAGE(OFFSET($R$3,0,0,'Données projet'!$E$9+1,1))-AVERAGE(OFFSET($H$3,0,0,'Données projet'!$E$9+1,1))</f>
        <v>430.41482167204606</v>
      </c>
      <c r="T94" s="62">
        <f t="shared" si="88"/>
        <v>177.02794100524551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24.332210478565468</v>
      </c>
      <c r="AA94" s="23">
        <f>EXP(-LN(2)/25)*AA93+(1-EXP(-LN(2)/25))/(LN(2)/25)*Calculateur!V94*Calculateur!X94*VLOOKUP('Données projet'!$B$9,Paramètres!$A$1:$I$89,3,0)*0.475*44/12</f>
        <v>16.979614805250769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41.311825283816233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1.2710188457276673E-13</v>
      </c>
      <c r="AK94" s="14">
        <f t="shared" si="89"/>
        <v>1.856866851063998E-12</v>
      </c>
      <c r="AL94" s="22">
        <f t="shared" si="58"/>
        <v>3.4554122145673649E-12</v>
      </c>
      <c r="AM94" s="62">
        <f t="shared" si="59"/>
        <v>293.33333333333678</v>
      </c>
      <c r="AN94" s="62">
        <f ca="1">AVERAGE(OFFSET($AM$3,0,0,'Données projet'!$E$10+1,1))-AVERAGE(OFFSET($H$3,0,0,'Données projet'!$E$10+1,1))</f>
        <v>507.43397352006832</v>
      </c>
      <c r="AO94" s="62">
        <f t="shared" si="90"/>
        <v>631.65579929520936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213.56652927013471</v>
      </c>
      <c r="AV94" s="23">
        <f>EXP(-LN(2)/25)*AV93+(1-EXP(-LN(2)/25))/(LN(2)/25)*Calculateur!AQ94*Calculateur!AS94*VLOOKUP('Données projet'!$B$10,Paramètres!$A$1:$I$89,3,0)*0.475*44/12</f>
        <v>20.914023911021591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234.4805531811563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1.7053025658242404E-13</v>
      </c>
      <c r="BE94" s="14">
        <f>BD94*VLOOKUP('Données projet'!$B$11,Paramètres!$A$1:$I$89,3,0)*VLOOKUP('Données projet'!$B$11,Paramètres!$A$1:$I$89,5,0)</f>
        <v>1.3301360013429075E-13</v>
      </c>
      <c r="BF94" s="14">
        <f t="shared" si="91"/>
        <v>1.9329766731057041E-12</v>
      </c>
      <c r="BG94" s="22">
        <f t="shared" si="61"/>
        <v>3.5982663925596575E-12</v>
      </c>
      <c r="BH94" s="62">
        <f t="shared" si="62"/>
        <v>293.3333333333369</v>
      </c>
      <c r="BI94" s="62">
        <f ca="1">AVERAGE(OFFSET($BH$3,0,0,'Données projet'!$E$11+1,1))-AVERAGE(OFFSET($H$3,0,0,'Données projet'!$E$11+1,1))</f>
        <v>357.65167206083379</v>
      </c>
      <c r="BJ94" s="62">
        <f t="shared" si="92"/>
        <v>341.23389735986342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131.1640332199764</v>
      </c>
      <c r="BQ94" s="23">
        <f>EXP(-LN(2)/25)*BQ93+(1-EXP(-LN(2)/25))/(LN(2)/25)*Calculateur!BL94*Calculateur!BN94*VLOOKUP('Données projet'!$B$11,Paramètres!$A$1:$I$89,3,0)*0.475*44/12</f>
        <v>18.399462988903256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149.56349620887966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7.2</v>
      </c>
      <c r="N95" s="14">
        <f>IF('Données projet'!$A$36&gt;35,N94+M95-V94,IF(A95&lt;'Données projet'!$A$36,$K$205^A95,IF(A95='Données projet'!$A$36,'Données projet'!$B$36,N94+M95-V94)))</f>
        <v>233.4</v>
      </c>
      <c r="O95" s="14">
        <f>N95*VLOOKUP('Données projet'!$B$9,Paramètres!$A$1:$I$89,3,0)*VLOOKUP('Données projet'!$B$9,Paramètres!$A$1:$I$89,5,0)</f>
        <v>211.18031999999999</v>
      </c>
      <c r="P95" s="14">
        <f t="shared" si="87"/>
        <v>52.193431117443019</v>
      </c>
      <c r="Q95" s="22">
        <f t="shared" si="54"/>
        <v>458.70928319621322</v>
      </c>
      <c r="R95" s="62">
        <f t="shared" si="55"/>
        <v>752.04261652954654</v>
      </c>
      <c r="S95" s="62">
        <f ca="1">AVERAGE(OFFSET($R$3,0,0,'Données projet'!$E$9+1,1))-AVERAGE(OFFSET($H$3,0,0,'Données projet'!$E$9+1,1))</f>
        <v>430.41482167204606</v>
      </c>
      <c r="T95" s="62">
        <f t="shared" si="88"/>
        <v>177.02794100524551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23.855070672263746</v>
      </c>
      <c r="AA95" s="23">
        <f>EXP(-LN(2)/25)*AA94+(1-EXP(-LN(2)/25))/(LN(2)/25)*Calculateur!V95*Calculateur!X95*VLOOKUP('Données projet'!$B$9,Paramètres!$A$1:$I$89,3,0)*0.475*44/12</f>
        <v>16.515306345482053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40.370377017745795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1.2710188457276673E-13</v>
      </c>
      <c r="AK95" s="14">
        <f t="shared" si="89"/>
        <v>1.856866851063998E-12</v>
      </c>
      <c r="AL95" s="22">
        <f t="shared" si="58"/>
        <v>3.4554122145673649E-12</v>
      </c>
      <c r="AM95" s="62">
        <f t="shared" si="59"/>
        <v>293.33333333333678</v>
      </c>
      <c r="AN95" s="62">
        <f ca="1">AVERAGE(OFFSET($AM$3,0,0,'Données projet'!$E$10+1,1))-AVERAGE(OFFSET($H$3,0,0,'Données projet'!$E$10+1,1))</f>
        <v>507.43397352006832</v>
      </c>
      <c r="AO95" s="62">
        <f t="shared" si="90"/>
        <v>631.65579929520936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209.37861989386784</v>
      </c>
      <c r="AV95" s="23">
        <f>EXP(-LN(2)/25)*AV94+(1-EXP(-LN(2)/25))/(LN(2)/25)*Calculateur!AQ95*Calculateur!AS95*VLOOKUP('Données projet'!$B$10,Paramètres!$A$1:$I$89,3,0)*0.475*44/12</f>
        <v>20.342128827353989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229.72074872122181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1.7053025658242404E-13</v>
      </c>
      <c r="BE95" s="14">
        <f>BD95*VLOOKUP('Données projet'!$B$11,Paramètres!$A$1:$I$89,3,0)*VLOOKUP('Données projet'!$B$11,Paramètres!$A$1:$I$89,5,0)</f>
        <v>1.3301360013429075E-13</v>
      </c>
      <c r="BF95" s="14">
        <f t="shared" si="91"/>
        <v>1.9329766731057041E-12</v>
      </c>
      <c r="BG95" s="22">
        <f t="shared" si="61"/>
        <v>3.5982663925596575E-12</v>
      </c>
      <c r="BH95" s="62">
        <f t="shared" si="62"/>
        <v>293.3333333333369</v>
      </c>
      <c r="BI95" s="62">
        <f ca="1">AVERAGE(OFFSET($BH$3,0,0,'Données projet'!$E$11+1,1))-AVERAGE(OFFSET($H$3,0,0,'Données projet'!$E$11+1,1))</f>
        <v>357.65167206083379</v>
      </c>
      <c r="BJ95" s="62">
        <f t="shared" si="92"/>
        <v>341.23389735986342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128.59198653069336</v>
      </c>
      <c r="BQ95" s="23">
        <f>EXP(-LN(2)/25)*BQ94+(1-EXP(-LN(2)/25))/(LN(2)/25)*Calculateur!BL95*Calculateur!BN95*VLOOKUP('Données projet'!$B$11,Paramètres!$A$1:$I$89,3,0)*0.475*44/12</f>
        <v>17.896328705885992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146.48831523657935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7.2</v>
      </c>
      <c r="N96" s="14">
        <f>IF('Données projet'!$A$36&gt;35,N95+M96-V95,IF(A96&lt;'Données projet'!$A$36,$K$205^A96,IF(A96='Données projet'!$A$36,'Données projet'!$B$36,N95+M96-V95)))</f>
        <v>240.6</v>
      </c>
      <c r="O96" s="14">
        <f>N96*VLOOKUP('Données projet'!$B$9,Paramètres!$A$1:$I$89,3,0)*VLOOKUP('Données projet'!$B$9,Paramètres!$A$1:$I$89,5,0)</f>
        <v>217.69487999999996</v>
      </c>
      <c r="P96" s="14">
        <f t="shared" si="87"/>
        <v>53.613572561591688</v>
      </c>
      <c r="Q96" s="22">
        <f t="shared" si="54"/>
        <v>472.52888821143875</v>
      </c>
      <c r="R96" s="62">
        <f t="shared" si="55"/>
        <v>765.86222154477207</v>
      </c>
      <c r="S96" s="62">
        <f ca="1">AVERAGE(OFFSET($R$3,0,0,'Données projet'!$E$9+1,1))-AVERAGE(OFFSET($H$3,0,0,'Données projet'!$E$9+1,1))</f>
        <v>430.41482167204606</v>
      </c>
      <c r="T96" s="62">
        <f t="shared" si="88"/>
        <v>177.02794100524551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23.387287286537056</v>
      </c>
      <c r="AA96" s="23">
        <f>EXP(-LN(2)/25)*AA95+(1-EXP(-LN(2)/25))/(LN(2)/25)*Calculateur!V96*Calculateur!X96*VLOOKUP('Données projet'!$B$9,Paramètres!$A$1:$I$89,3,0)*0.475*44/12</f>
        <v>16.06369442496263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39.450981711499686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1.2710188457276673E-13</v>
      </c>
      <c r="AK96" s="14">
        <f t="shared" si="89"/>
        <v>1.856866851063998E-12</v>
      </c>
      <c r="AL96" s="22">
        <f t="shared" si="58"/>
        <v>3.4554122145673649E-12</v>
      </c>
      <c r="AM96" s="62">
        <f t="shared" si="59"/>
        <v>293.33333333333678</v>
      </c>
      <c r="AN96" s="62">
        <f ca="1">AVERAGE(OFFSET($AM$3,0,0,'Données projet'!$E$10+1,1))-AVERAGE(OFFSET($H$3,0,0,'Données projet'!$E$10+1,1))</f>
        <v>507.43397352006832</v>
      </c>
      <c r="AO96" s="62">
        <f t="shared" si="90"/>
        <v>631.65579929520936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205.27283286609708</v>
      </c>
      <c r="AV96" s="23">
        <f>EXP(-LN(2)/25)*AV95+(1-EXP(-LN(2)/25))/(LN(2)/25)*Calculateur!AQ96*Calculateur!AS96*VLOOKUP('Données projet'!$B$10,Paramètres!$A$1:$I$89,3,0)*0.475*44/12</f>
        <v>19.785872244823931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225.05870511092101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1.7053025658242404E-13</v>
      </c>
      <c r="BE96" s="14">
        <f>BD96*VLOOKUP('Données projet'!$B$11,Paramètres!$A$1:$I$89,3,0)*VLOOKUP('Données projet'!$B$11,Paramètres!$A$1:$I$89,5,0)</f>
        <v>1.3301360013429075E-13</v>
      </c>
      <c r="BF96" s="14">
        <f t="shared" si="91"/>
        <v>1.9329766731057041E-12</v>
      </c>
      <c r="BG96" s="22">
        <f t="shared" si="61"/>
        <v>3.5982663925596575E-12</v>
      </c>
      <c r="BH96" s="62">
        <f t="shared" si="62"/>
        <v>293.3333333333369</v>
      </c>
      <c r="BI96" s="62">
        <f ca="1">AVERAGE(OFFSET($BH$3,0,0,'Données projet'!$E$11+1,1))-AVERAGE(OFFSET($H$3,0,0,'Données projet'!$E$11+1,1))</f>
        <v>357.65167206083379</v>
      </c>
      <c r="BJ96" s="62">
        <f t="shared" si="92"/>
        <v>341.23389735986342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126.0703761081936</v>
      </c>
      <c r="BQ96" s="23">
        <f>EXP(-LN(2)/25)*BQ95+(1-EXP(-LN(2)/25))/(LN(2)/25)*Calculateur!BL96*Calculateur!BN96*VLOOKUP('Données projet'!$B$11,Paramètres!$A$1:$I$89,3,0)*0.475*44/12</f>
        <v>17.406952656296514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143.47732876449012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7.2</v>
      </c>
      <c r="N97" s="14">
        <f>IF('Données projet'!$A$36&gt;35,N96+M97-V96,IF(A97&lt;'Données projet'!$A$36,$K$205^A97,IF(A97='Données projet'!$A$36,'Données projet'!$B$36,N96+M97-V96)))</f>
        <v>247.79999999999998</v>
      </c>
      <c r="O97" s="14">
        <f>N97*VLOOKUP('Données projet'!$B$9,Paramètres!$A$1:$I$89,3,0)*VLOOKUP('Données projet'!$B$9,Paramètres!$A$1:$I$89,5,0)</f>
        <v>224.20944</v>
      </c>
      <c r="P97" s="14">
        <f t="shared" si="87"/>
        <v>55.028775065392367</v>
      </c>
      <c r="Q97" s="22">
        <f t="shared" si="54"/>
        <v>486.3398912388916</v>
      </c>
      <c r="R97" s="62">
        <f t="shared" si="55"/>
        <v>779.67322457222485</v>
      </c>
      <c r="S97" s="62">
        <f ca="1">AVERAGE(OFFSET($R$3,0,0,'Données projet'!$E$9+1,1))-AVERAGE(OFFSET($H$3,0,0,'Données projet'!$E$9+1,1))</f>
        <v>430.41482167204606</v>
      </c>
      <c r="T97" s="62">
        <f t="shared" si="88"/>
        <v>177.02794100524551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22.928676847684773</v>
      </c>
      <c r="AA97" s="23">
        <f>EXP(-LN(2)/25)*AA96+(1-EXP(-LN(2)/25))/(LN(2)/25)*Calculateur!V97*Calculateur!X97*VLOOKUP('Données projet'!$B$9,Paramètres!$A$1:$I$89,3,0)*0.475*44/12</f>
        <v>15.624431856159051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38.553108703843826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1.2710188457276673E-13</v>
      </c>
      <c r="AK97" s="14">
        <f t="shared" si="89"/>
        <v>1.856866851063998E-12</v>
      </c>
      <c r="AL97" s="22">
        <f t="shared" si="58"/>
        <v>3.4554122145673649E-12</v>
      </c>
      <c r="AM97" s="62">
        <f t="shared" si="59"/>
        <v>293.33333333333678</v>
      </c>
      <c r="AN97" s="62">
        <f ca="1">AVERAGE(OFFSET($AM$3,0,0,'Données projet'!$E$10+1,1))-AVERAGE(OFFSET($H$3,0,0,'Données projet'!$E$10+1,1))</f>
        <v>507.43397352006832</v>
      </c>
      <c r="AO97" s="62">
        <f t="shared" si="90"/>
        <v>631.65579929520936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201.24755781765808</v>
      </c>
      <c r="AV97" s="23">
        <f>EXP(-LN(2)/25)*AV96+(1-EXP(-LN(2)/25))/(LN(2)/25)*Calculateur!AQ97*Calculateur!AS97*VLOOKUP('Données projet'!$B$10,Paramètres!$A$1:$I$89,3,0)*0.475*44/12</f>
        <v>19.244826527795421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220.4923843454535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1.7053025658242404E-13</v>
      </c>
      <c r="BE97" s="14">
        <f>BD97*VLOOKUP('Données projet'!$B$11,Paramètres!$A$1:$I$89,3,0)*VLOOKUP('Données projet'!$B$11,Paramètres!$A$1:$I$89,5,0)</f>
        <v>1.3301360013429075E-13</v>
      </c>
      <c r="BF97" s="14">
        <f t="shared" si="91"/>
        <v>1.9329766731057041E-12</v>
      </c>
      <c r="BG97" s="22">
        <f t="shared" si="61"/>
        <v>3.5982663925596575E-12</v>
      </c>
      <c r="BH97" s="62">
        <f t="shared" si="62"/>
        <v>293.3333333333369</v>
      </c>
      <c r="BI97" s="62">
        <f ca="1">AVERAGE(OFFSET($BH$3,0,0,'Données projet'!$E$11+1,1))-AVERAGE(OFFSET($H$3,0,0,'Données projet'!$E$11+1,1))</f>
        <v>357.65167206083379</v>
      </c>
      <c r="BJ97" s="62">
        <f t="shared" si="92"/>
        <v>341.23389735986342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123.59821292804857</v>
      </c>
      <c r="BQ97" s="23">
        <f>EXP(-LN(2)/25)*BQ96+(1-EXP(-LN(2)/25))/(LN(2)/25)*Calculateur!BL97*Calculateur!BN97*VLOOKUP('Données projet'!$B$11,Paramètres!$A$1:$I$89,3,0)*0.475*44/12</f>
        <v>16.930958620518229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140.52917154856681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255</v>
      </c>
      <c r="L98" s="13">
        <f>VLOOKUP(A98,'Données projet'!$A$35:$I$55,9,0)</f>
        <v>7.2</v>
      </c>
      <c r="M98" s="13">
        <f t="array" ref="M98">INDEX(L:L,MIN(IF(ISNUMBER(L98:L294),ROW(L98:L294),"")))</f>
        <v>7.2</v>
      </c>
      <c r="N98" s="14">
        <f>IF('Données projet'!$A$36&gt;35,N97+M98-V97,IF(A98&lt;'Données projet'!$A$36,$K$205^A98,IF(A98='Données projet'!$A$36,'Données projet'!$B$36,N97+M98-V97)))</f>
        <v>254.99999999999997</v>
      </c>
      <c r="O98" s="14">
        <f>N98*VLOOKUP('Données projet'!$B$9,Paramètres!$A$1:$I$89,3,0)*VLOOKUP('Données projet'!$B$9,Paramètres!$A$1:$I$89,5,0)</f>
        <v>230.72399999999996</v>
      </c>
      <c r="P98" s="14">
        <f t="shared" si="87"/>
        <v>56.439198612082045</v>
      </c>
      <c r="Q98" s="22">
        <f t="shared" si="54"/>
        <v>500.14257091604276</v>
      </c>
      <c r="R98" s="62">
        <f t="shared" si="55"/>
        <v>793.47590424937607</v>
      </c>
      <c r="S98" s="62">
        <f ca="1">AVERAGE(OFFSET($R$3,0,0,'Données projet'!$E$9+1,1))-AVERAGE(OFFSET($H$3,0,0,'Données projet'!$E$9+1,1))</f>
        <v>430.41482167204606</v>
      </c>
      <c r="T98" s="62">
        <f t="shared" si="88"/>
        <v>177.02794100524551</v>
      </c>
      <c r="U98" s="16">
        <f>IF(ISNA(VLOOKUP(A98,'Données projet'!$A$35:$I$55,3,0)),0,VLOOKUP(A98,'Données projet'!$A$35:$I$55,3,0))</f>
        <v>7</v>
      </c>
      <c r="V98" s="16">
        <f>IF(ISNA(VLOOKUP(A98,'Données projet'!$A$35:$I$55,4,0)),0,VLOOKUP(A98,'Données projet'!$A$35:$I$55,4,0))</f>
        <v>32</v>
      </c>
      <c r="W98" s="17">
        <f>IF(ISNA(VLOOKUP(A98,'Données projet'!$A$35:$I$55,5,0)),0%,VLOOKUP(A98,'Données projet'!$A$35:$I$55,5,0)*VLOOKUP('Données projet'!$B$9,Paramètres!$A$1:$I$89,7,0))</f>
        <v>0.215</v>
      </c>
      <c r="X98" s="17">
        <f>IF(ISNA(VLOOKUP(A98,'Données projet'!$A$35:$I$55,6,0)),0%,VLOOKUP(A98,'Données projet'!$A$35:$I$55,6,0)*VLOOKUP('Données projet'!$B$9,Paramètres!$A$1:$I$89,7,0))</f>
        <v>0.17200000000000001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29.360639123695357</v>
      </c>
      <c r="AA98" s="23">
        <f>EXP(-LN(2)/25)*AA97+(1-EXP(-LN(2)/25))/(LN(2)/25)*Calculateur!V98*Calculateur!X98*VLOOKUP('Données projet'!$B$9,Paramètres!$A$1:$I$89,3,0)*0.475*44/12</f>
        <v>20.680768339588298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50.041407463283655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1.2710188457276673E-13</v>
      </c>
      <c r="AK98" s="14">
        <f t="shared" si="89"/>
        <v>1.856866851063998E-12</v>
      </c>
      <c r="AL98" s="22">
        <f t="shared" si="58"/>
        <v>3.4554122145673649E-12</v>
      </c>
      <c r="AM98" s="62">
        <f t="shared" si="59"/>
        <v>293.33333333333678</v>
      </c>
      <c r="AN98" s="62">
        <f ca="1">AVERAGE(OFFSET($AM$3,0,0,'Données projet'!$E$10+1,1))-AVERAGE(OFFSET($H$3,0,0,'Données projet'!$E$10+1,1))</f>
        <v>507.43397352006832</v>
      </c>
      <c r="AO98" s="62">
        <f t="shared" si="90"/>
        <v>631.65579929520936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197.30121595774364</v>
      </c>
      <c r="AV98" s="23">
        <f>EXP(-LN(2)/25)*AV97+(1-EXP(-LN(2)/25))/(LN(2)/25)*Calculateur!AQ98*Calculateur!AS98*VLOOKUP('Données projet'!$B$10,Paramètres!$A$1:$I$89,3,0)*0.475*44/12</f>
        <v>18.718575734351415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216.01979169209505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1.7053025658242404E-13</v>
      </c>
      <c r="BE98" s="14">
        <f>BD98*VLOOKUP('Données projet'!$B$11,Paramètres!$A$1:$I$89,3,0)*VLOOKUP('Données projet'!$B$11,Paramètres!$A$1:$I$89,5,0)</f>
        <v>1.3301360013429075E-13</v>
      </c>
      <c r="BF98" s="14">
        <f t="shared" si="91"/>
        <v>1.9329766731057041E-12</v>
      </c>
      <c r="BG98" s="22">
        <f t="shared" si="61"/>
        <v>3.5982663925596575E-12</v>
      </c>
      <c r="BH98" s="62">
        <f t="shared" si="62"/>
        <v>293.3333333333369</v>
      </c>
      <c r="BI98" s="62">
        <f ca="1">AVERAGE(OFFSET($BH$3,0,0,'Données projet'!$E$11+1,1))-AVERAGE(OFFSET($H$3,0,0,'Données projet'!$E$11+1,1))</f>
        <v>357.65167206083379</v>
      </c>
      <c r="BJ98" s="62">
        <f t="shared" si="92"/>
        <v>341.23389735986342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121.17452735999552</v>
      </c>
      <c r="BQ98" s="23">
        <f>EXP(-LN(2)/25)*BQ97+(1-EXP(-LN(2)/25))/(LN(2)/25)*Calculateur!BL98*Calculateur!BN98*VLOOKUP('Données projet'!$B$11,Paramètres!$A$1:$I$89,3,0)*0.475*44/12</f>
        <v>16.46798066667974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137.64250802667527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5.7</v>
      </c>
      <c r="N99" s="14">
        <f>IF('Données projet'!$A$36&gt;35,N98+M99-V98,IF(A99&lt;'Données projet'!$A$36,$K$205^A99,IF(A99='Données projet'!$A$36,'Données projet'!$B$36,N98+M99-V98)))</f>
        <v>228.7</v>
      </c>
      <c r="O99" s="14">
        <f>N99*VLOOKUP('Données projet'!$B$9,Paramètres!$A$1:$I$89,3,0)*VLOOKUP('Données projet'!$B$9,Paramètres!$A$1:$I$89,5,0)</f>
        <v>206.92775999999998</v>
      </c>
      <c r="P99" s="14">
        <f t="shared" si="87"/>
        <v>51.263649194955747</v>
      </c>
      <c r="Q99" s="22">
        <f t="shared" ref="Q99:Q130" si="107">(O99+P99)*0.475*44/12</f>
        <v>449.68337101454784</v>
      </c>
      <c r="R99" s="62">
        <f t="shared" si="55"/>
        <v>743.01670434788116</v>
      </c>
      <c r="S99" s="62">
        <f ca="1">AVERAGE(OFFSET($R$3,0,0,'Données projet'!$E$9+1,1))-AVERAGE(OFFSET($H$3,0,0,'Données projet'!$E$9+1,1))</f>
        <v>430.41482167204606</v>
      </c>
      <c r="T99" s="62">
        <f t="shared" si="88"/>
        <v>177.02794100524551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28.784894898701268</v>
      </c>
      <c r="AA99" s="23">
        <f>EXP(-LN(2)/25)*AA98+(1-EXP(-LN(2)/25))/(LN(2)/25)*Calculateur!V99*Calculateur!X99*VLOOKUP('Données projet'!$B$9,Paramètres!$A$1:$I$89,3,0)*0.475*44/12</f>
        <v>20.115251641787914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48.900146540489182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1.2710188457276673E-13</v>
      </c>
      <c r="AK99" s="14">
        <f t="shared" si="89"/>
        <v>1.856866851063998E-12</v>
      </c>
      <c r="AL99" s="22">
        <f t="shared" si="58"/>
        <v>3.4554122145673649E-12</v>
      </c>
      <c r="AM99" s="62">
        <f t="shared" si="59"/>
        <v>293.33333333333678</v>
      </c>
      <c r="AN99" s="62">
        <f ca="1">AVERAGE(OFFSET($AM$3,0,0,'Données projet'!$E$10+1,1))-AVERAGE(OFFSET($H$3,0,0,'Données projet'!$E$10+1,1))</f>
        <v>507.43397352006832</v>
      </c>
      <c r="AO99" s="62">
        <f t="shared" si="90"/>
        <v>631.65579929520936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193.43225945467125</v>
      </c>
      <c r="AV99" s="23">
        <f>EXP(-LN(2)/25)*AV98+(1-EXP(-LN(2)/25))/(LN(2)/25)*Calculateur!AQ99*Calculateur!AS99*VLOOKUP('Données projet'!$B$10,Paramètres!$A$1:$I$89,3,0)*0.475*44/12</f>
        <v>18.206715296528458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211.63897475119973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1.7053025658242404E-13</v>
      </c>
      <c r="BE99" s="14">
        <f>BD99*VLOOKUP('Données projet'!$B$11,Paramètres!$A$1:$I$89,3,0)*VLOOKUP('Données projet'!$B$11,Paramètres!$A$1:$I$89,5,0)</f>
        <v>1.3301360013429075E-13</v>
      </c>
      <c r="BF99" s="14">
        <f t="shared" si="91"/>
        <v>1.9329766731057041E-12</v>
      </c>
      <c r="BG99" s="22">
        <f t="shared" si="61"/>
        <v>3.5982663925596575E-12</v>
      </c>
      <c r="BH99" s="62">
        <f t="shared" si="62"/>
        <v>293.3333333333369</v>
      </c>
      <c r="BI99" s="62">
        <f ca="1">AVERAGE(OFFSET($BH$3,0,0,'Données projet'!$E$11+1,1))-AVERAGE(OFFSET($H$3,0,0,'Données projet'!$E$11+1,1))</f>
        <v>357.65167206083379</v>
      </c>
      <c r="BJ99" s="62">
        <f t="shared" si="92"/>
        <v>341.23389735986342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118.79836878762977</v>
      </c>
      <c r="BQ99" s="23">
        <f>EXP(-LN(2)/25)*BQ98+(1-EXP(-LN(2)/25))/(LN(2)/25)*Calculateur!BL99*Calculateur!BN99*VLOOKUP('Données projet'!$B$11,Paramètres!$A$1:$I$89,3,0)*0.475*44/12</f>
        <v>16.017662869335918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134.81603165696569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5.7</v>
      </c>
      <c r="N100" s="14">
        <f>IF('Données projet'!$A$36&gt;35,N99+M100-V99,IF(A100&lt;'Données projet'!$A$36,$K$205^A100,IF(A100='Données projet'!$A$36,'Données projet'!$B$36,N99+M100-V99)))</f>
        <v>234.39999999999998</v>
      </c>
      <c r="O100" s="14">
        <f>N100*VLOOKUP('Données projet'!$B$9,Paramètres!$A$1:$I$89,3,0)*VLOOKUP('Données projet'!$B$9,Paramètres!$A$1:$I$89,5,0)</f>
        <v>212.08511999999996</v>
      </c>
      <c r="P100" s="14">
        <f t="shared" si="87"/>
        <v>52.390974537063087</v>
      </c>
      <c r="Q100" s="22">
        <f t="shared" si="107"/>
        <v>460.62919798538474</v>
      </c>
      <c r="R100" s="62">
        <f t="shared" si="55"/>
        <v>753.96253131871799</v>
      </c>
      <c r="S100" s="62">
        <f ca="1">AVERAGE(OFFSET($R$3,0,0,'Données projet'!$E$9+1,1))-AVERAGE(OFFSET($H$3,0,0,'Données projet'!$E$9+1,1))</f>
        <v>430.41482167204606</v>
      </c>
      <c r="T100" s="62">
        <f t="shared" si="88"/>
        <v>177.02794100524551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28.220440666790008</v>
      </c>
      <c r="AA100" s="23">
        <f>EXP(-LN(2)/25)*AA99+(1-EXP(-LN(2)/25))/(LN(2)/25)*Calculateur!V100*Calculateur!X100*VLOOKUP('Données projet'!$B$9,Paramètres!$A$1:$I$89,3,0)*0.475*44/12</f>
        <v>19.565199027828115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47.785639694618126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1.2710188457276673E-13</v>
      </c>
      <c r="AK100" s="14">
        <f t="shared" si="89"/>
        <v>1.856866851063998E-12</v>
      </c>
      <c r="AL100" s="22">
        <f t="shared" si="58"/>
        <v>3.4554122145673649E-12</v>
      </c>
      <c r="AM100" s="62">
        <f t="shared" si="59"/>
        <v>293.33333333333678</v>
      </c>
      <c r="AN100" s="62">
        <f ca="1">AVERAGE(OFFSET($AM$3,0,0,'Données projet'!$E$10+1,1))-AVERAGE(OFFSET($H$3,0,0,'Données projet'!$E$10+1,1))</f>
        <v>507.43397352006832</v>
      </c>
      <c r="AO100" s="62">
        <f t="shared" si="90"/>
        <v>631.65579929520936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189.63917082879365</v>
      </c>
      <c r="AV100" s="23">
        <f>EXP(-LN(2)/25)*AV99+(1-EXP(-LN(2)/25))/(LN(2)/25)*Calculateur!AQ100*Calculateur!AS100*VLOOKUP('Données projet'!$B$10,Paramètres!$A$1:$I$89,3,0)*0.475*44/12</f>
        <v>17.708851709295342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207.348022538089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1.7053025658242404E-13</v>
      </c>
      <c r="BE100" s="14">
        <f>BD100*VLOOKUP('Données projet'!$B$11,Paramètres!$A$1:$I$89,3,0)*VLOOKUP('Données projet'!$B$11,Paramètres!$A$1:$I$89,5,0)</f>
        <v>1.3301360013429075E-13</v>
      </c>
      <c r="BF100" s="14">
        <f t="shared" si="91"/>
        <v>1.9329766731057041E-12</v>
      </c>
      <c r="BG100" s="22">
        <f t="shared" si="61"/>
        <v>3.5982663925596575E-12</v>
      </c>
      <c r="BH100" s="62">
        <f t="shared" si="62"/>
        <v>293.3333333333369</v>
      </c>
      <c r="BI100" s="62">
        <f ca="1">AVERAGE(OFFSET($BH$3,0,0,'Données projet'!$E$11+1,1))-AVERAGE(OFFSET($H$3,0,0,'Données projet'!$E$11+1,1))</f>
        <v>357.65167206083379</v>
      </c>
      <c r="BJ100" s="62">
        <f t="shared" si="92"/>
        <v>341.23389735986342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116.4688052355545</v>
      </c>
      <c r="BQ100" s="23">
        <f>EXP(-LN(2)/25)*BQ99+(1-EXP(-LN(2)/25))/(LN(2)/25)*Calculateur!BL100*Calculateur!BN100*VLOOKUP('Données projet'!$B$11,Paramètres!$A$1:$I$89,3,0)*0.475*44/12</f>
        <v>15.579659035841646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132.04846427139614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5.7</v>
      </c>
      <c r="N101" s="14">
        <f>IF('Données projet'!$A$36&gt;35,N100+M101-V100,IF(A101&lt;'Données projet'!$A$36,$K$205^A101,IF(A101='Données projet'!$A$36,'Données projet'!$B$36,N100+M101-V100)))</f>
        <v>240.09999999999997</v>
      </c>
      <c r="O101" s="14">
        <f>N101*VLOOKUP('Données projet'!$B$9,Paramètres!$A$1:$I$89,3,0)*VLOOKUP('Données projet'!$B$9,Paramètres!$A$1:$I$89,5,0)</f>
        <v>217.24247999999997</v>
      </c>
      <c r="P101" s="14">
        <f t="shared" si="87"/>
        <v>53.51511311271868</v>
      </c>
      <c r="Q101" s="22">
        <f t="shared" si="107"/>
        <v>471.56947467131835</v>
      </c>
      <c r="R101" s="62">
        <f t="shared" si="55"/>
        <v>764.90280800465166</v>
      </c>
      <c r="S101" s="62">
        <f ca="1">AVERAGE(OFFSET($R$3,0,0,'Données projet'!$E$9+1,1))-AVERAGE(OFFSET($H$3,0,0,'Données projet'!$E$9+1,1))</f>
        <v>430.41482167204606</v>
      </c>
      <c r="T101" s="62">
        <f t="shared" si="88"/>
        <v>177.02794100524551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27.667055038083443</v>
      </c>
      <c r="AA101" s="23">
        <f>EXP(-LN(2)/25)*AA100+(1-EXP(-LN(2)/25))/(LN(2)/25)*Calculateur!V101*Calculateur!X101*VLOOKUP('Données projet'!$B$9,Paramètres!$A$1:$I$89,3,0)*0.475*44/12</f>
        <v>19.030187631523056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46.697242669606496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1.2710188457276673E-13</v>
      </c>
      <c r="AK101" s="14">
        <f t="shared" si="89"/>
        <v>1.856866851063998E-12</v>
      </c>
      <c r="AL101" s="22">
        <f t="shared" si="58"/>
        <v>3.4554122145673649E-12</v>
      </c>
      <c r="AM101" s="62">
        <f t="shared" si="59"/>
        <v>293.33333333333678</v>
      </c>
      <c r="AN101" s="62">
        <f ca="1">AVERAGE(OFFSET($AM$3,0,0,'Données projet'!$E$10+1,1))-AVERAGE(OFFSET($H$3,0,0,'Données projet'!$E$10+1,1))</f>
        <v>507.43397352006832</v>
      </c>
      <c r="AO101" s="62">
        <f t="shared" si="90"/>
        <v>631.65579929520936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185.92046235731391</v>
      </c>
      <c r="AV101" s="23">
        <f>EXP(-LN(2)/25)*AV100+(1-EXP(-LN(2)/25))/(LN(2)/25)*Calculateur!AQ101*Calculateur!AS101*VLOOKUP('Données projet'!$B$10,Paramètres!$A$1:$I$89,3,0)*0.475*44/12</f>
        <v>17.224602228036623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203.14506458535053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1.7053025658242404E-13</v>
      </c>
      <c r="BE101" s="14">
        <f>BD101*VLOOKUP('Données projet'!$B$11,Paramètres!$A$1:$I$89,3,0)*VLOOKUP('Données projet'!$B$11,Paramètres!$A$1:$I$89,5,0)</f>
        <v>1.3301360013429075E-13</v>
      </c>
      <c r="BF101" s="14">
        <f t="shared" si="91"/>
        <v>1.9329766731057041E-12</v>
      </c>
      <c r="BG101" s="22">
        <f t="shared" si="61"/>
        <v>3.5982663925596575E-12</v>
      </c>
      <c r="BH101" s="62">
        <f t="shared" si="62"/>
        <v>293.3333333333369</v>
      </c>
      <c r="BI101" s="62">
        <f ca="1">AVERAGE(OFFSET($BH$3,0,0,'Données projet'!$E$11+1,1))-AVERAGE(OFFSET($H$3,0,0,'Données projet'!$E$11+1,1))</f>
        <v>357.65167206083379</v>
      </c>
      <c r="BJ101" s="62">
        <f t="shared" si="92"/>
        <v>341.23389735986342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114.18492300384196</v>
      </c>
      <c r="BQ101" s="23">
        <f>EXP(-LN(2)/25)*BQ100+(1-EXP(-LN(2)/25))/(LN(2)/25)*Calculateur!BL101*Calculateur!BN101*VLOOKUP('Données projet'!$B$11,Paramètres!$A$1:$I$89,3,0)*0.475*44/12</f>
        <v>15.153632440207895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129.33855544404986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5.7</v>
      </c>
      <c r="N102" s="14">
        <f>IF('Données projet'!$A$36&gt;35,N101+M102-V101,IF(A102&lt;'Données projet'!$A$36,$K$205^A102,IF(A102='Données projet'!$A$36,'Données projet'!$B$36,N101+M102-V101)))</f>
        <v>245.79999999999995</v>
      </c>
      <c r="O102" s="14">
        <f>N102*VLOOKUP('Données projet'!$B$9,Paramètres!$A$1:$I$89,3,0)*VLOOKUP('Données projet'!$B$9,Paramètres!$A$1:$I$89,5,0)</f>
        <v>222.39983999999995</v>
      </c>
      <c r="P102" s="14">
        <f t="shared" si="87"/>
        <v>54.636149281681448</v>
      </c>
      <c r="Q102" s="22">
        <f t="shared" si="107"/>
        <v>482.50434799892838</v>
      </c>
      <c r="R102" s="62">
        <f t="shared" si="55"/>
        <v>775.8376813322617</v>
      </c>
      <c r="S102" s="62">
        <f ca="1">AVERAGE(OFFSET($R$3,0,0,'Données projet'!$E$9+1,1))-AVERAGE(OFFSET($H$3,0,0,'Données projet'!$E$9+1,1))</f>
        <v>430.41482167204606</v>
      </c>
      <c r="T102" s="62">
        <f t="shared" si="88"/>
        <v>177.02794100524551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27.124520964023908</v>
      </c>
      <c r="AA102" s="23">
        <f>EXP(-LN(2)/25)*AA101+(1-EXP(-LN(2)/25))/(LN(2)/25)*Calculateur!V102*Calculateur!X102*VLOOKUP('Données projet'!$B$9,Paramètres!$A$1:$I$89,3,0)*0.475*44/12</f>
        <v>18.509806149984986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45.634327114008897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1.2710188457276673E-13</v>
      </c>
      <c r="AK102" s="14">
        <f t="shared" si="89"/>
        <v>1.856866851063998E-12</v>
      </c>
      <c r="AL102" s="22">
        <f t="shared" si="58"/>
        <v>3.4554122145673649E-12</v>
      </c>
      <c r="AM102" s="62">
        <f t="shared" si="59"/>
        <v>293.33333333333678</v>
      </c>
      <c r="AN102" s="62">
        <f ca="1">AVERAGE(OFFSET($AM$3,0,0,'Données projet'!$E$10+1,1))-AVERAGE(OFFSET($H$3,0,0,'Données projet'!$E$10+1,1))</f>
        <v>507.43397352006832</v>
      </c>
      <c r="AO102" s="62">
        <f t="shared" si="90"/>
        <v>631.65579929520936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182.27467549077167</v>
      </c>
      <c r="AV102" s="23">
        <f>EXP(-LN(2)/25)*AV101+(1-EXP(-LN(2)/25))/(LN(2)/25)*Calculateur!AQ102*Calculateur!AS102*VLOOKUP('Données projet'!$B$10,Paramètres!$A$1:$I$89,3,0)*0.475*44/12</f>
        <v>16.753594574308497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199.02827006508016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1.7053025658242404E-13</v>
      </c>
      <c r="BE102" s="14">
        <f>BD102*VLOOKUP('Données projet'!$B$11,Paramètres!$A$1:$I$89,3,0)*VLOOKUP('Données projet'!$B$11,Paramètres!$A$1:$I$89,5,0)</f>
        <v>1.3301360013429075E-13</v>
      </c>
      <c r="BF102" s="14">
        <f t="shared" si="91"/>
        <v>1.9329766731057041E-12</v>
      </c>
      <c r="BG102" s="22">
        <f t="shared" si="61"/>
        <v>3.5982663925596575E-12</v>
      </c>
      <c r="BH102" s="62">
        <f t="shared" si="62"/>
        <v>293.3333333333369</v>
      </c>
      <c r="BI102" s="62">
        <f ca="1">AVERAGE(OFFSET($BH$3,0,0,'Données projet'!$E$11+1,1))-AVERAGE(OFFSET($H$3,0,0,'Données projet'!$E$11+1,1))</f>
        <v>357.65167206083379</v>
      </c>
      <c r="BJ102" s="62">
        <f t="shared" si="92"/>
        <v>341.23389735986342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111.94582630966269</v>
      </c>
      <c r="BQ102" s="23">
        <f>EXP(-LN(2)/25)*BQ101+(1-EXP(-LN(2)/25))/(LN(2)/25)*Calculateur!BL102*Calculateur!BN102*VLOOKUP('Données projet'!$B$11,Paramètres!$A$1:$I$89,3,0)*0.475*44/12</f>
        <v>14.739255564235513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126.68508187389821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5.7</v>
      </c>
      <c r="N103" s="14">
        <f>IF('Données projet'!$A$36&gt;35,N102+M103-V102,IF(A103&lt;'Données projet'!$A$36,$K$205^A103,IF(A103='Données projet'!$A$36,'Données projet'!$B$36,N102+M103-V102)))</f>
        <v>251.49999999999994</v>
      </c>
      <c r="O103" s="14">
        <f>N103*VLOOKUP('Données projet'!$B$9,Paramètres!$A$1:$I$89,3,0)*VLOOKUP('Données projet'!$B$9,Paramètres!$A$1:$I$89,5,0)</f>
        <v>227.55719999999994</v>
      </c>
      <c r="P103" s="14">
        <f t="shared" si="87"/>
        <v>55.754163267932704</v>
      </c>
      <c r="Q103" s="22">
        <f t="shared" si="107"/>
        <v>493.43395769164931</v>
      </c>
      <c r="R103" s="62">
        <f t="shared" si="55"/>
        <v>786.76729102498257</v>
      </c>
      <c r="S103" s="62">
        <f ca="1">AVERAGE(OFFSET($R$3,0,0,'Données projet'!$E$9+1,1))-AVERAGE(OFFSET($H$3,0,0,'Données projet'!$E$9+1,1))</f>
        <v>430.41482167204606</v>
      </c>
      <c r="T103" s="62">
        <f t="shared" si="88"/>
        <v>177.02794100524551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26.592625652243569</v>
      </c>
      <c r="AA103" s="23">
        <f>EXP(-LN(2)/25)*AA102+(1-EXP(-LN(2)/25))/(LN(2)/25)*Calculateur!V103*Calculateur!X103*VLOOKUP('Données projet'!$B$9,Paramètres!$A$1:$I$89,3,0)*0.475*44/12</f>
        <v>18.003654527425244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44.59628017966881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1.2710188457276673E-13</v>
      </c>
      <c r="AK103" s="14">
        <f t="shared" si="89"/>
        <v>1.856866851063998E-12</v>
      </c>
      <c r="AL103" s="22">
        <f t="shared" si="58"/>
        <v>3.4554122145673649E-12</v>
      </c>
      <c r="AM103" s="62">
        <f t="shared" si="59"/>
        <v>293.33333333333678</v>
      </c>
      <c r="AN103" s="62">
        <f ca="1">AVERAGE(OFFSET($AM$3,0,0,'Données projet'!$E$10+1,1))-AVERAGE(OFFSET($H$3,0,0,'Données projet'!$E$10+1,1))</f>
        <v>507.43397352006832</v>
      </c>
      <c r="AO103" s="62">
        <f t="shared" si="90"/>
        <v>631.65579929520936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178.7003802809719</v>
      </c>
      <c r="AV103" s="23">
        <f>EXP(-LN(2)/25)*AV102+(1-EXP(-LN(2)/25))/(LN(2)/25)*Calculateur!AQ103*Calculateur!AS103*VLOOKUP('Données projet'!$B$10,Paramètres!$A$1:$I$89,3,0)*0.475*44/12</f>
        <v>16.295466649640783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194.99584693061269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1.7053025658242404E-13</v>
      </c>
      <c r="BE103" s="14">
        <f>BD103*VLOOKUP('Données projet'!$B$11,Paramètres!$A$1:$I$89,3,0)*VLOOKUP('Données projet'!$B$11,Paramètres!$A$1:$I$89,5,0)</f>
        <v>1.3301360013429075E-13</v>
      </c>
      <c r="BF103" s="14">
        <f t="shared" si="91"/>
        <v>1.9329766731057041E-12</v>
      </c>
      <c r="BG103" s="22">
        <f t="shared" si="61"/>
        <v>3.5982663925596575E-12</v>
      </c>
      <c r="BH103" s="62">
        <f t="shared" si="62"/>
        <v>293.3333333333369</v>
      </c>
      <c r="BI103" s="62">
        <f ca="1">AVERAGE(OFFSET($BH$3,0,0,'Données projet'!$E$11+1,1))-AVERAGE(OFFSET($H$3,0,0,'Données projet'!$E$11+1,1))</f>
        <v>357.65167206083379</v>
      </c>
      <c r="BJ103" s="62">
        <f t="shared" si="92"/>
        <v>341.23389735986342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109.75063693594214</v>
      </c>
      <c r="BQ103" s="23">
        <f>EXP(-LN(2)/25)*BQ102+(1-EXP(-LN(2)/25))/(LN(2)/25)*Calculateur!BL103*Calculateur!BN103*VLOOKUP('Données projet'!$B$11,Paramètres!$A$1:$I$89,3,0)*0.475*44/12</f>
        <v>14.33620984572773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124.08684678166986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5.7</v>
      </c>
      <c r="N104" s="14">
        <f>IF('Données projet'!$A$36&gt;35,N103+M104-V103,IF(A104&lt;'Données projet'!$A$36,$K$205^A104,IF(A104='Données projet'!$A$36,'Données projet'!$B$36,N103+M104-V103)))</f>
        <v>257.19999999999993</v>
      </c>
      <c r="O104" s="14">
        <f>N104*VLOOKUP('Données projet'!$B$9,Paramètres!$A$1:$I$89,3,0)*VLOOKUP('Données projet'!$B$9,Paramètres!$A$1:$I$89,5,0)</f>
        <v>232.71455999999995</v>
      </c>
      <c r="P104" s="14">
        <f t="shared" si="87"/>
        <v>56.869231451501811</v>
      </c>
      <c r="Q104" s="22">
        <f t="shared" si="107"/>
        <v>504.35843677803229</v>
      </c>
      <c r="R104" s="62">
        <f t="shared" si="55"/>
        <v>797.6917701113656</v>
      </c>
      <c r="S104" s="62">
        <f ca="1">AVERAGE(OFFSET($R$3,0,0,'Données projet'!$E$9+1,1))-AVERAGE(OFFSET($H$3,0,0,'Données projet'!$E$9+1,1))</f>
        <v>430.41482167204606</v>
      </c>
      <c r="T104" s="62">
        <f t="shared" si="88"/>
        <v>177.02794100524551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26.071160483103139</v>
      </c>
      <c r="AA104" s="23">
        <f>EXP(-LN(2)/25)*AA103+(1-EXP(-LN(2)/25))/(LN(2)/25)*Calculateur!V104*Calculateur!X104*VLOOKUP('Données projet'!$B$9,Paramètres!$A$1:$I$89,3,0)*0.475*44/12</f>
        <v>17.511343647601755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43.582504130704891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1.2710188457276673E-13</v>
      </c>
      <c r="AK104" s="14">
        <f t="shared" si="89"/>
        <v>1.856866851063998E-12</v>
      </c>
      <c r="AL104" s="22">
        <f t="shared" si="58"/>
        <v>3.4554122145673649E-12</v>
      </c>
      <c r="AM104" s="62">
        <f t="shared" si="59"/>
        <v>293.33333333333678</v>
      </c>
      <c r="AN104" s="62">
        <f ca="1">AVERAGE(OFFSET($AM$3,0,0,'Données projet'!$E$10+1,1))-AVERAGE(OFFSET($H$3,0,0,'Données projet'!$E$10+1,1))</f>
        <v>507.43397352006832</v>
      </c>
      <c r="AO104" s="62">
        <f t="shared" si="90"/>
        <v>631.65579929520936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175.19617482013152</v>
      </c>
      <c r="AV104" s="23">
        <f>EXP(-LN(2)/25)*AV103+(1-EXP(-LN(2)/25))/(LN(2)/25)*Calculateur!AQ104*Calculateur!AS104*VLOOKUP('Données projet'!$B$10,Paramètres!$A$1:$I$89,3,0)*0.475*44/12</f>
        <v>15.849866257165008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191.04604107729654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1.7053025658242404E-13</v>
      </c>
      <c r="BE104" s="14">
        <f>BD104*VLOOKUP('Données projet'!$B$11,Paramètres!$A$1:$I$89,3,0)*VLOOKUP('Données projet'!$B$11,Paramètres!$A$1:$I$89,5,0)</f>
        <v>1.3301360013429075E-13</v>
      </c>
      <c r="BF104" s="14">
        <f t="shared" si="91"/>
        <v>1.9329766731057041E-12</v>
      </c>
      <c r="BG104" s="22">
        <f t="shared" si="61"/>
        <v>3.5982663925596575E-12</v>
      </c>
      <c r="BH104" s="62">
        <f t="shared" si="62"/>
        <v>293.3333333333369</v>
      </c>
      <c r="BI104" s="62">
        <f ca="1">AVERAGE(OFFSET($BH$3,0,0,'Données projet'!$E$11+1,1))-AVERAGE(OFFSET($H$3,0,0,'Données projet'!$E$11+1,1))</f>
        <v>357.65167206083379</v>
      </c>
      <c r="BJ104" s="62">
        <f t="shared" si="92"/>
        <v>341.23389735986342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107.59849388690694</v>
      </c>
      <c r="BQ104" s="23">
        <f>EXP(-LN(2)/25)*BQ103+(1-EXP(-LN(2)/25))/(LN(2)/25)*Calculateur!BL104*Calculateur!BN104*VLOOKUP('Données projet'!$B$11,Paramètres!$A$1:$I$89,3,0)*0.475*44/12</f>
        <v>13.944185433587796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121.54267932049473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5.7</v>
      </c>
      <c r="N105" s="14">
        <f>IF('Données projet'!$A$36&gt;35,N104+M105-V104,IF(A105&lt;'Données projet'!$A$36,$K$205^A105,IF(A105='Données projet'!$A$36,'Données projet'!$B$36,N104+M105-V104)))</f>
        <v>262.89999999999992</v>
      </c>
      <c r="O105" s="14">
        <f>N105*VLOOKUP('Données projet'!$B$9,Paramètres!$A$1:$I$89,3,0)*VLOOKUP('Données projet'!$B$9,Paramètres!$A$1:$I$89,5,0)</f>
        <v>237.87191999999993</v>
      </c>
      <c r="P105" s="14">
        <f t="shared" si="87"/>
        <v>57.981426633693381</v>
      </c>
      <c r="Q105" s="22">
        <f t="shared" si="107"/>
        <v>515.27791205368248</v>
      </c>
      <c r="R105" s="62">
        <f t="shared" si="55"/>
        <v>808.61124538701574</v>
      </c>
      <c r="S105" s="62">
        <f ca="1">AVERAGE(OFFSET($R$3,0,0,'Données projet'!$E$9+1,1))-AVERAGE(OFFSET($H$3,0,0,'Données projet'!$E$9+1,1))</f>
        <v>430.41482167204606</v>
      </c>
      <c r="T105" s="62">
        <f t="shared" si="88"/>
        <v>177.02794100524551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25.559920927867203</v>
      </c>
      <c r="AA105" s="23">
        <f>EXP(-LN(2)/25)*AA104+(1-EXP(-LN(2)/25))/(LN(2)/25)*Calculateur!V105*Calculateur!X105*VLOOKUP('Données projet'!$B$9,Paramètres!$A$1:$I$89,3,0)*0.475*44/12</f>
        <v>17.032495034676547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42.592415962543754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1.2710188457276673E-13</v>
      </c>
      <c r="AK105" s="14">
        <f t="shared" si="89"/>
        <v>1.856866851063998E-12</v>
      </c>
      <c r="AL105" s="22">
        <f t="shared" si="58"/>
        <v>3.4554122145673649E-12</v>
      </c>
      <c r="AM105" s="62">
        <f t="shared" si="59"/>
        <v>293.33333333333678</v>
      </c>
      <c r="AN105" s="62">
        <f ca="1">AVERAGE(OFFSET($AM$3,0,0,'Données projet'!$E$10+1,1))-AVERAGE(OFFSET($H$3,0,0,'Données projet'!$E$10+1,1))</f>
        <v>507.43397352006832</v>
      </c>
      <c r="AO105" s="62">
        <f t="shared" si="90"/>
        <v>631.65579929520936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171.76068469102393</v>
      </c>
      <c r="AV105" s="23">
        <f>EXP(-LN(2)/25)*AV104+(1-EXP(-LN(2)/25))/(LN(2)/25)*Calculateur!AQ105*Calculateur!AS105*VLOOKUP('Données projet'!$B$10,Paramètres!$A$1:$I$89,3,0)*0.475*44/12</f>
        <v>15.41645083085459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187.17713552187851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1.7053025658242404E-13</v>
      </c>
      <c r="BE105" s="14">
        <f>BD105*VLOOKUP('Données projet'!$B$11,Paramètres!$A$1:$I$89,3,0)*VLOOKUP('Données projet'!$B$11,Paramètres!$A$1:$I$89,5,0)</f>
        <v>1.3301360013429075E-13</v>
      </c>
      <c r="BF105" s="14">
        <f t="shared" si="91"/>
        <v>1.9329766731057041E-12</v>
      </c>
      <c r="BG105" s="22">
        <f t="shared" si="61"/>
        <v>3.5982663925596575E-12</v>
      </c>
      <c r="BH105" s="62">
        <f t="shared" si="62"/>
        <v>293.3333333333369</v>
      </c>
      <c r="BI105" s="62">
        <f ca="1">AVERAGE(OFFSET($BH$3,0,0,'Données projet'!$E$11+1,1))-AVERAGE(OFFSET($H$3,0,0,'Données projet'!$E$11+1,1))</f>
        <v>357.65167206083379</v>
      </c>
      <c r="BJ105" s="62">
        <f t="shared" si="92"/>
        <v>341.23389735986342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105.48855305038568</v>
      </c>
      <c r="BQ105" s="23">
        <f>EXP(-LN(2)/25)*BQ104+(1-EXP(-LN(2)/25))/(LN(2)/25)*Calculateur!BL105*Calculateur!BN105*VLOOKUP('Données projet'!$B$11,Paramètres!$A$1:$I$89,3,0)*0.475*44/12</f>
        <v>13.562880949613495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119.05143399999918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5.7</v>
      </c>
      <c r="N106" s="14">
        <f>IF('Données projet'!$A$36&gt;35,N105+M106-V105,IF(A106&lt;'Données projet'!$A$36,$K$205^A106,IF(A106='Données projet'!$A$36,'Données projet'!$B$36,N105+M106-V105)))</f>
        <v>268.59999999999991</v>
      </c>
      <c r="O106" s="14">
        <f>N106*VLOOKUP('Données projet'!$B$9,Paramètres!$A$1:$I$89,3,0)*VLOOKUP('Données projet'!$B$9,Paramètres!$A$1:$I$89,5,0)</f>
        <v>243.02927999999989</v>
      </c>
      <c r="P106" s="14">
        <f t="shared" si="87"/>
        <v>59.09081827866347</v>
      </c>
      <c r="Q106" s="22">
        <f t="shared" si="107"/>
        <v>526.19250450200536</v>
      </c>
      <c r="R106" s="62">
        <f t="shared" si="55"/>
        <v>819.52583783533873</v>
      </c>
      <c r="S106" s="62">
        <f ca="1">AVERAGE(OFFSET($R$3,0,0,'Données projet'!$E$9+1,1))-AVERAGE(OFFSET($H$3,0,0,'Données projet'!$E$9+1,1))</f>
        <v>430.41482167204606</v>
      </c>
      <c r="T106" s="62">
        <f t="shared" si="88"/>
        <v>177.02794100524551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25.058706468484107</v>
      </c>
      <c r="AA106" s="23">
        <f>EXP(-LN(2)/25)*AA105+(1-EXP(-LN(2)/25))/(LN(2)/25)*Calculateur!V106*Calculateur!X106*VLOOKUP('Données projet'!$B$9,Paramètres!$A$1:$I$89,3,0)*0.475*44/12</f>
        <v>16.566740562253329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41.625447030737433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1.2710188457276673E-13</v>
      </c>
      <c r="AK106" s="14">
        <f t="shared" si="89"/>
        <v>1.856866851063998E-12</v>
      </c>
      <c r="AL106" s="22">
        <f t="shared" si="58"/>
        <v>3.4554122145673649E-12</v>
      </c>
      <c r="AM106" s="62">
        <f t="shared" si="59"/>
        <v>293.33333333333678</v>
      </c>
      <c r="AN106" s="62">
        <f ca="1">AVERAGE(OFFSET($AM$3,0,0,'Données projet'!$E$10+1,1))-AVERAGE(OFFSET($H$3,0,0,'Données projet'!$E$10+1,1))</f>
        <v>507.43397352006832</v>
      </c>
      <c r="AO106" s="62">
        <f t="shared" si="90"/>
        <v>631.65579929520936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168.39256242790606</v>
      </c>
      <c r="AV106" s="23">
        <f>EXP(-LN(2)/25)*AV105+(1-EXP(-LN(2)/25))/(LN(2)/25)*Calculateur!AQ106*Calculateur!AS106*VLOOKUP('Données projet'!$B$10,Paramètres!$A$1:$I$89,3,0)*0.475*44/12</f>
        <v>14.994887172168957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183.387449600075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1.7053025658242404E-13</v>
      </c>
      <c r="BE106" s="14">
        <f>BD106*VLOOKUP('Données projet'!$B$11,Paramètres!$A$1:$I$89,3,0)*VLOOKUP('Données projet'!$B$11,Paramètres!$A$1:$I$89,5,0)</f>
        <v>1.3301360013429075E-13</v>
      </c>
      <c r="BF106" s="14">
        <f t="shared" si="91"/>
        <v>1.9329766731057041E-12</v>
      </c>
      <c r="BG106" s="22">
        <f t="shared" si="61"/>
        <v>3.5982663925596575E-12</v>
      </c>
      <c r="BH106" s="62">
        <f t="shared" si="62"/>
        <v>293.3333333333369</v>
      </c>
      <c r="BI106" s="62">
        <f ca="1">AVERAGE(OFFSET($BH$3,0,0,'Données projet'!$E$11+1,1))-AVERAGE(OFFSET($H$3,0,0,'Données projet'!$E$11+1,1))</f>
        <v>357.65167206083379</v>
      </c>
      <c r="BJ106" s="62">
        <f t="shared" si="92"/>
        <v>341.23389735986342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103.41998686673176</v>
      </c>
      <c r="BQ106" s="23">
        <f>EXP(-LN(2)/25)*BQ105+(1-EXP(-LN(2)/25))/(LN(2)/25)*Calculateur!BL106*Calculateur!BN106*VLOOKUP('Données projet'!$B$11,Paramètres!$A$1:$I$89,3,0)*0.475*44/12</f>
        <v>13.192003256805403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116.61199012353717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5.7</v>
      </c>
      <c r="N107" s="14">
        <f>IF('Données projet'!$A$36&gt;35,N106+M107-V106,IF(A107&lt;'Données projet'!$A$36,$K$205^A107,IF(A107='Données projet'!$A$36,'Données projet'!$B$36,N106+M107-V106)))</f>
        <v>274.2999999999999</v>
      </c>
      <c r="O107" s="14">
        <f>N107*VLOOKUP('Données projet'!$B$9,Paramètres!$A$1:$I$89,3,0)*VLOOKUP('Données projet'!$B$9,Paramètres!$A$1:$I$89,5,0)</f>
        <v>248.1866399999999</v>
      </c>
      <c r="P107" s="14">
        <f t="shared" si="87"/>
        <v>60.197472733911383</v>
      </c>
      <c r="Q107" s="22">
        <f t="shared" si="107"/>
        <v>537.10232967822878</v>
      </c>
      <c r="R107" s="62">
        <f t="shared" si="55"/>
        <v>830.43566301156216</v>
      </c>
      <c r="S107" s="62">
        <f ca="1">AVERAGE(OFFSET($R$3,0,0,'Données projet'!$E$9+1,1))-AVERAGE(OFFSET($H$3,0,0,'Données projet'!$E$9+1,1))</f>
        <v>430.41482167204606</v>
      </c>
      <c r="T107" s="62">
        <f t="shared" si="88"/>
        <v>177.02794100524551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24.567320518938882</v>
      </c>
      <c r="AA107" s="23">
        <f>EXP(-LN(2)/25)*AA106+(1-EXP(-LN(2)/25))/(LN(2)/25)*Calculateur!V107*Calculateur!X107*VLOOKUP('Données projet'!$B$9,Paramètres!$A$1:$I$89,3,0)*0.475*44/12</f>
        <v>16.113722170371489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40.681042689310374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1.2710188457276673E-13</v>
      </c>
      <c r="AK107" s="14">
        <f t="shared" si="89"/>
        <v>1.856866851063998E-12</v>
      </c>
      <c r="AL107" s="22">
        <f t="shared" si="58"/>
        <v>3.4554122145673649E-12</v>
      </c>
      <c r="AM107" s="62">
        <f t="shared" si="59"/>
        <v>293.33333333333678</v>
      </c>
      <c r="AN107" s="62">
        <f ca="1">AVERAGE(OFFSET($AM$3,0,0,'Données projet'!$E$10+1,1))-AVERAGE(OFFSET($H$3,0,0,'Données projet'!$E$10+1,1))</f>
        <v>507.43397352006832</v>
      </c>
      <c r="AO107" s="62">
        <f t="shared" si="90"/>
        <v>631.65579929520936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165.09048698801621</v>
      </c>
      <c r="AV107" s="23">
        <f>EXP(-LN(2)/25)*AV106+(1-EXP(-LN(2)/25))/(LN(2)/25)*Calculateur!AQ107*Calculateur!AS107*VLOOKUP('Données projet'!$B$10,Paramètres!$A$1:$I$89,3,0)*0.475*44/12</f>
        <v>14.584851193899151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179.67533818191535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1.7053025658242404E-13</v>
      </c>
      <c r="BE107" s="14">
        <f>BD107*VLOOKUP('Données projet'!$B$11,Paramètres!$A$1:$I$89,3,0)*VLOOKUP('Données projet'!$B$11,Paramètres!$A$1:$I$89,5,0)</f>
        <v>1.3301360013429075E-13</v>
      </c>
      <c r="BF107" s="14">
        <f t="shared" si="91"/>
        <v>1.9329766731057041E-12</v>
      </c>
      <c r="BG107" s="22">
        <f t="shared" si="61"/>
        <v>3.5982663925596575E-12</v>
      </c>
      <c r="BH107" s="62">
        <f t="shared" si="62"/>
        <v>293.3333333333369</v>
      </c>
      <c r="BI107" s="62">
        <f ca="1">AVERAGE(OFFSET($BH$3,0,0,'Données projet'!$E$11+1,1))-AVERAGE(OFFSET($H$3,0,0,'Données projet'!$E$11+1,1))</f>
        <v>357.65167206083379</v>
      </c>
      <c r="BJ107" s="62">
        <f t="shared" si="92"/>
        <v>341.23389735986342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101.39198400423851</v>
      </c>
      <c r="BQ107" s="23">
        <f>EXP(-LN(2)/25)*BQ106+(1-EXP(-LN(2)/25))/(LN(2)/25)*Calculateur!BL107*Calculateur!BN107*VLOOKUP('Données projet'!$B$11,Paramètres!$A$1:$I$89,3,0)*0.475*44/12</f>
        <v>12.83126723401076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114.22325123824928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280</v>
      </c>
      <c r="L108" s="13">
        <f>VLOOKUP(A108,'Données projet'!$A$35:$I$55,9,0)</f>
        <v>5.7</v>
      </c>
      <c r="M108" s="13">
        <f t="array" ref="M108">INDEX(L:L,MIN(IF(ISNUMBER(L108:L304),ROW(L108:L304),"")))</f>
        <v>5.7</v>
      </c>
      <c r="N108" s="14">
        <f>IF('Données projet'!$A$36&gt;35,N107+M108-V107,IF(A108&lt;'Données projet'!$A$36,$K$205^A108,IF(A108='Données projet'!$A$36,'Données projet'!$B$36,N107+M108-V107)))</f>
        <v>279.99999999999989</v>
      </c>
      <c r="O108" s="14">
        <f>N108*VLOOKUP('Données projet'!$B$9,Paramètres!$A$1:$I$89,3,0)*VLOOKUP('Données projet'!$B$9,Paramètres!$A$1:$I$89,5,0)</f>
        <v>253.34399999999988</v>
      </c>
      <c r="P108" s="14">
        <f t="shared" si="87"/>
        <v>61.301453431926255</v>
      </c>
      <c r="Q108" s="22">
        <f t="shared" si="107"/>
        <v>548.00749806060469</v>
      </c>
      <c r="R108" s="62">
        <f t="shared" si="55"/>
        <v>841.34083139393806</v>
      </c>
      <c r="S108" s="62">
        <f ca="1">AVERAGE(OFFSET($R$3,0,0,'Données projet'!$E$9+1,1))-AVERAGE(OFFSET($H$3,0,0,'Données projet'!$E$9+1,1))</f>
        <v>430.41482167204606</v>
      </c>
      <c r="T108" s="62">
        <f t="shared" si="88"/>
        <v>177.02794100524551</v>
      </c>
      <c r="U108" s="16">
        <f>IF(ISNA(VLOOKUP(A108,'Données projet'!$A$35:$I$55,3,0)),0,VLOOKUP(A108,'Données projet'!$A$35:$I$55,3,0))</f>
        <v>8</v>
      </c>
      <c r="V108" s="16">
        <f>IF(ISNA(VLOOKUP(A108,'Données projet'!$A$35:$I$55,4,0)),0,VLOOKUP(A108,'Données projet'!$A$35:$I$55,4,0))</f>
        <v>43</v>
      </c>
      <c r="W108" s="17">
        <f>IF(ISNA(VLOOKUP(A108,'Données projet'!$A$35:$I$55,5,0)),0%,VLOOKUP(A108,'Données projet'!$A$35:$I$55,5,0)*VLOOKUP('Données projet'!$B$9,Paramètres!$A$1:$I$89,7,0))</f>
        <v>0.215</v>
      </c>
      <c r="X108" s="17">
        <f>IF(ISNA(VLOOKUP(A108,'Données projet'!$A$35:$I$55,6,0)),0%,VLOOKUP(A108,'Données projet'!$A$35:$I$55,6,0)*VLOOKUP('Données projet'!$B$9,Paramètres!$A$1:$I$89,7,0))</f>
        <v>0.17200000000000001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33.332692994614469</v>
      </c>
      <c r="AA108" s="23">
        <f>EXP(-LN(2)/25)*AA107+(1-EXP(-LN(2)/25))/(LN(2)/25)*Calculateur!V108*Calculateur!X108*VLOOKUP('Données projet'!$B$9,Paramètres!$A$1:$I$89,3,0)*0.475*44/12</f>
        <v>23.041662151180432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56.374355145794901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1.2710188457276673E-13</v>
      </c>
      <c r="AK108" s="14">
        <f t="shared" si="89"/>
        <v>1.856866851063998E-12</v>
      </c>
      <c r="AL108" s="22">
        <f t="shared" si="58"/>
        <v>3.4554122145673649E-12</v>
      </c>
      <c r="AM108" s="62">
        <f t="shared" si="59"/>
        <v>293.33333333333678</v>
      </c>
      <c r="AN108" s="62">
        <f ca="1">AVERAGE(OFFSET($AM$3,0,0,'Données projet'!$E$10+1,1))-AVERAGE(OFFSET($H$3,0,0,'Données projet'!$E$10+1,1))</f>
        <v>507.43397352006832</v>
      </c>
      <c r="AO108" s="62">
        <f t="shared" si="90"/>
        <v>631.65579929520936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161.85316323343545</v>
      </c>
      <c r="AV108" s="23">
        <f>EXP(-LN(2)/25)*AV107+(1-EXP(-LN(2)/25))/(LN(2)/25)*Calculateur!AQ108*Calculateur!AS108*VLOOKUP('Données projet'!$B$10,Paramètres!$A$1:$I$89,3,0)*0.475*44/12</f>
        <v>14.186027671017989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176.03919090445345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1.7053025658242404E-13</v>
      </c>
      <c r="BE108" s="14">
        <f>BD108*VLOOKUP('Données projet'!$B$11,Paramètres!$A$1:$I$89,3,0)*VLOOKUP('Données projet'!$B$11,Paramètres!$A$1:$I$89,5,0)</f>
        <v>1.3301360013429075E-13</v>
      </c>
      <c r="BF108" s="14">
        <f t="shared" si="91"/>
        <v>1.9329766731057041E-12</v>
      </c>
      <c r="BG108" s="22">
        <f t="shared" si="61"/>
        <v>3.5982663925596575E-12</v>
      </c>
      <c r="BH108" s="62">
        <f t="shared" si="62"/>
        <v>293.3333333333369</v>
      </c>
      <c r="BI108" s="62">
        <f ca="1">AVERAGE(OFFSET($BH$3,0,0,'Données projet'!$E$11+1,1))-AVERAGE(OFFSET($H$3,0,0,'Données projet'!$E$11+1,1))</f>
        <v>357.65167206083379</v>
      </c>
      <c r="BJ108" s="62">
        <f t="shared" si="92"/>
        <v>341.23389735986342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99.403749040919152</v>
      </c>
      <c r="BQ108" s="23">
        <f>EXP(-LN(2)/25)*BQ107+(1-EXP(-LN(2)/25))/(LN(2)/25)*Calculateur!BL108*Calculateur!BN108*VLOOKUP('Données projet'!$B$11,Paramètres!$A$1:$I$89,3,0)*0.475*44/12</f>
        <v>12.480395556729718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111.88414459764887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6.8</v>
      </c>
      <c r="N109" s="14">
        <f>IF('Données projet'!$A$36&gt;35,N108+M109-V108,IF(A109&lt;'Données projet'!$A$36,$K$205^A109,IF(A109='Données projet'!$A$36,'Données projet'!$B$36,N108+M109-V108)))</f>
        <v>243.7999999999999</v>
      </c>
      <c r="O109" s="14">
        <f>N109*VLOOKUP('Données projet'!$B$9,Paramètres!$A$1:$I$89,3,0)*VLOOKUP('Données projet'!$B$9,Paramètres!$A$1:$I$89,5,0)</f>
        <v>220.59023999999991</v>
      </c>
      <c r="P109" s="14">
        <f t="shared" si="87"/>
        <v>54.243151457087848</v>
      </c>
      <c r="Q109" s="22">
        <f t="shared" si="107"/>
        <v>478.66815678776123</v>
      </c>
      <c r="R109" s="62">
        <f t="shared" si="55"/>
        <v>772.00149012109455</v>
      </c>
      <c r="S109" s="62">
        <f ca="1">AVERAGE(OFFSET($R$3,0,0,'Données projet'!$E$9+1,1))-AVERAGE(OFFSET($H$3,0,0,'Données projet'!$E$9+1,1))</f>
        <v>430.41482167204606</v>
      </c>
      <c r="T109" s="62">
        <f t="shared" si="88"/>
        <v>177.02794100524551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32.679059215925292</v>
      </c>
      <c r="AA109" s="23">
        <f>EXP(-LN(2)/25)*AA108+(1-EXP(-LN(2)/25))/(LN(2)/25)*Calculateur!V109*Calculateur!X109*VLOOKUP('Données projet'!$B$9,Paramètres!$A$1:$I$89,3,0)*0.475*44/12</f>
        <v>22.411586687948052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55.090645903873344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1.2710188457276673E-13</v>
      </c>
      <c r="AK109" s="14">
        <f t="shared" si="89"/>
        <v>1.856866851063998E-12</v>
      </c>
      <c r="AL109" s="22">
        <f t="shared" si="58"/>
        <v>3.4554122145673649E-12</v>
      </c>
      <c r="AM109" s="62">
        <f t="shared" si="59"/>
        <v>293.33333333333678</v>
      </c>
      <c r="AN109" s="62">
        <f ca="1">AVERAGE(OFFSET($AM$3,0,0,'Données projet'!$E$10+1,1))-AVERAGE(OFFSET($H$3,0,0,'Données projet'!$E$10+1,1))</f>
        <v>507.43397352006832</v>
      </c>
      <c r="AO109" s="62">
        <f t="shared" si="90"/>
        <v>631.65579929520936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158.67932142310949</v>
      </c>
      <c r="AV109" s="23">
        <f>EXP(-LN(2)/25)*AV108+(1-EXP(-LN(2)/25))/(LN(2)/25)*Calculateur!AQ109*Calculateur!AS109*VLOOKUP('Données projet'!$B$10,Paramètres!$A$1:$I$89,3,0)*0.475*44/12</f>
        <v>13.798109998343229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172.47743142145271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1.7053025658242404E-13</v>
      </c>
      <c r="BE109" s="14">
        <f>BD109*VLOOKUP('Données projet'!$B$11,Paramètres!$A$1:$I$89,3,0)*VLOOKUP('Données projet'!$B$11,Paramètres!$A$1:$I$89,5,0)</f>
        <v>1.3301360013429075E-13</v>
      </c>
      <c r="BF109" s="14">
        <f t="shared" si="91"/>
        <v>1.9329766731057041E-12</v>
      </c>
      <c r="BG109" s="22">
        <f t="shared" si="61"/>
        <v>3.5982663925596575E-12</v>
      </c>
      <c r="BH109" s="62">
        <f t="shared" si="62"/>
        <v>293.3333333333369</v>
      </c>
      <c r="BI109" s="62">
        <f ca="1">AVERAGE(OFFSET($BH$3,0,0,'Données projet'!$E$11+1,1))-AVERAGE(OFFSET($H$3,0,0,'Données projet'!$E$11+1,1))</f>
        <v>357.65167206083379</v>
      </c>
      <c r="BJ109" s="62">
        <f t="shared" si="92"/>
        <v>341.23389735986342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97.454502152526899</v>
      </c>
      <c r="BQ109" s="23">
        <f>EXP(-LN(2)/25)*BQ108+(1-EXP(-LN(2)/25))/(LN(2)/25)*Calculateur!BL109*Calculateur!BN109*VLOOKUP('Données projet'!$B$11,Paramètres!$A$1:$I$89,3,0)*0.475*44/12</f>
        <v>12.139118483915466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109.59362063644237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6.8</v>
      </c>
      <c r="N110" s="14">
        <f>IF('Données projet'!$A$36&gt;35,N109+M110-V109,IF(A110&lt;'Données projet'!$A$36,$K$205^A110,IF(A110='Données projet'!$A$36,'Données projet'!$B$36,N109+M110-V109)))</f>
        <v>250.59999999999991</v>
      </c>
      <c r="O110" s="14">
        <f>N110*VLOOKUP('Données projet'!$B$9,Paramètres!$A$1:$I$89,3,0)*VLOOKUP('Données projet'!$B$9,Paramètres!$A$1:$I$89,5,0)</f>
        <v>226.7428799999999</v>
      </c>
      <c r="P110" s="14">
        <f t="shared" si="87"/>
        <v>55.577832502933106</v>
      </c>
      <c r="Q110" s="22">
        <f t="shared" si="107"/>
        <v>491.70857427594166</v>
      </c>
      <c r="R110" s="62">
        <f t="shared" si="55"/>
        <v>785.04190760927497</v>
      </c>
      <c r="S110" s="62">
        <f ca="1">AVERAGE(OFFSET($R$3,0,0,'Données projet'!$E$9+1,1))-AVERAGE(OFFSET($H$3,0,0,'Données projet'!$E$9+1,1))</f>
        <v>430.41482167204606</v>
      </c>
      <c r="T110" s="62">
        <f t="shared" si="88"/>
        <v>177.02794100524551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32.038242796958976</v>
      </c>
      <c r="AA110" s="23">
        <f>EXP(-LN(2)/25)*AA109+(1-EXP(-LN(2)/25))/(LN(2)/25)*Calculateur!V110*Calculateur!X110*VLOOKUP('Données projet'!$B$9,Paramètres!$A$1:$I$89,3,0)*0.475*44/12</f>
        <v>21.79874067139199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53.836983468350965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1.2710188457276673E-13</v>
      </c>
      <c r="AK110" s="14">
        <f t="shared" si="89"/>
        <v>1.856866851063998E-12</v>
      </c>
      <c r="AL110" s="22">
        <f t="shared" si="58"/>
        <v>3.4554122145673649E-12</v>
      </c>
      <c r="AM110" s="62">
        <f t="shared" si="59"/>
        <v>293.33333333333678</v>
      </c>
      <c r="AN110" s="62">
        <f ca="1">AVERAGE(OFFSET($AM$3,0,0,'Données projet'!$E$10+1,1))-AVERAGE(OFFSET($H$3,0,0,'Données projet'!$E$10+1,1))</f>
        <v>507.43397352006832</v>
      </c>
      <c r="AO110" s="62">
        <f t="shared" si="90"/>
        <v>631.65579929520936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155.56771671483168</v>
      </c>
      <c r="AV110" s="23">
        <f>EXP(-LN(2)/25)*AV109+(1-EXP(-LN(2)/25))/(LN(2)/25)*Calculateur!AQ110*Calculateur!AS110*VLOOKUP('Données projet'!$B$10,Paramètres!$A$1:$I$89,3,0)*0.475*44/12</f>
        <v>13.420799954827464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168.98851666965913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1.7053025658242404E-13</v>
      </c>
      <c r="BE110" s="14">
        <f>BD110*VLOOKUP('Données projet'!$B$11,Paramètres!$A$1:$I$89,3,0)*VLOOKUP('Données projet'!$B$11,Paramètres!$A$1:$I$89,5,0)</f>
        <v>1.3301360013429075E-13</v>
      </c>
      <c r="BF110" s="14">
        <f t="shared" si="91"/>
        <v>1.9329766731057041E-12</v>
      </c>
      <c r="BG110" s="22">
        <f t="shared" si="61"/>
        <v>3.5982663925596575E-12</v>
      </c>
      <c r="BH110" s="62">
        <f t="shared" si="62"/>
        <v>293.3333333333369</v>
      </c>
      <c r="BI110" s="62">
        <f ca="1">AVERAGE(OFFSET($BH$3,0,0,'Données projet'!$E$11+1,1))-AVERAGE(OFFSET($H$3,0,0,'Données projet'!$E$11+1,1))</f>
        <v>357.65167206083379</v>
      </c>
      <c r="BJ110" s="62">
        <f t="shared" si="92"/>
        <v>341.23389735986342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95.543478806692818</v>
      </c>
      <c r="BQ110" s="23">
        <f>EXP(-LN(2)/25)*BQ109+(1-EXP(-LN(2)/25))/(LN(2)/25)*Calculateur!BL110*Calculateur!BN110*VLOOKUP('Données projet'!$B$11,Paramètres!$A$1:$I$89,3,0)*0.475*44/12</f>
        <v>11.8071736506043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107.35065245729712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6.8</v>
      </c>
      <c r="N111" s="14">
        <f>IF('Données projet'!$A$36&gt;35,N110+M111-V110,IF(A111&lt;'Données projet'!$A$36,$K$205^A111,IF(A111='Données projet'!$A$36,'Données projet'!$B$36,N110+M111-V110)))</f>
        <v>257.39999999999992</v>
      </c>
      <c r="O111" s="14">
        <f>N111*VLOOKUP('Données projet'!$B$9,Paramètres!$A$1:$I$89,3,0)*VLOOKUP('Données projet'!$B$9,Paramètres!$A$1:$I$89,5,0)</f>
        <v>232.89551999999992</v>
      </c>
      <c r="P111" s="14">
        <f t="shared" si="87"/>
        <v>56.908304063818662</v>
      </c>
      <c r="Q111" s="22">
        <f t="shared" si="107"/>
        <v>504.74166024448397</v>
      </c>
      <c r="R111" s="62">
        <f t="shared" si="55"/>
        <v>798.07499357781728</v>
      </c>
      <c r="S111" s="62">
        <f ca="1">AVERAGE(OFFSET($R$3,0,0,'Données projet'!$E$9+1,1))-AVERAGE(OFFSET($H$3,0,0,'Données projet'!$E$9+1,1))</f>
        <v>430.41482167204606</v>
      </c>
      <c r="T111" s="62">
        <f t="shared" si="88"/>
        <v>177.02794100524551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31.409992397109164</v>
      </c>
      <c r="AA111" s="23">
        <f>EXP(-LN(2)/25)*AA110+(1-EXP(-LN(2)/25))/(LN(2)/25)*Calculateur!V111*Calculateur!X111*VLOOKUP('Données projet'!$B$9,Paramètres!$A$1:$I$89,3,0)*0.475*44/12</f>
        <v>21.202652961386825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52.612645358495989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1.2710188457276673E-13</v>
      </c>
      <c r="AK111" s="14">
        <f t="shared" si="89"/>
        <v>1.856866851063998E-12</v>
      </c>
      <c r="AL111" s="22">
        <f t="shared" si="58"/>
        <v>3.4554122145673649E-12</v>
      </c>
      <c r="AM111" s="62">
        <f t="shared" si="59"/>
        <v>293.33333333333678</v>
      </c>
      <c r="AN111" s="62">
        <f ca="1">AVERAGE(OFFSET($AM$3,0,0,'Données projet'!$E$10+1,1))-AVERAGE(OFFSET($H$3,0,0,'Données projet'!$E$10+1,1))</f>
        <v>507.43397352006832</v>
      </c>
      <c r="AO111" s="62">
        <f t="shared" si="90"/>
        <v>631.65579929520936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152.51712867699172</v>
      </c>
      <c r="AV111" s="23">
        <f>EXP(-LN(2)/25)*AV110+(1-EXP(-LN(2)/25))/(LN(2)/25)*Calculateur!AQ111*Calculateur!AS111*VLOOKUP('Données projet'!$B$10,Paramètres!$A$1:$I$89,3,0)*0.475*44/12</f>
        <v>13.05380747429351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165.57093615128522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1.7053025658242404E-13</v>
      </c>
      <c r="BE111" s="14">
        <f>BD111*VLOOKUP('Données projet'!$B$11,Paramètres!$A$1:$I$89,3,0)*VLOOKUP('Données projet'!$B$11,Paramètres!$A$1:$I$89,5,0)</f>
        <v>1.3301360013429075E-13</v>
      </c>
      <c r="BF111" s="14">
        <f t="shared" si="91"/>
        <v>1.9329766731057041E-12</v>
      </c>
      <c r="BG111" s="22">
        <f t="shared" si="61"/>
        <v>3.5982663925596575E-12</v>
      </c>
      <c r="BH111" s="62">
        <f t="shared" si="62"/>
        <v>293.3333333333369</v>
      </c>
      <c r="BI111" s="62">
        <f ca="1">AVERAGE(OFFSET($BH$3,0,0,'Données projet'!$E$11+1,1))-AVERAGE(OFFSET($H$3,0,0,'Données projet'!$E$11+1,1))</f>
        <v>357.65167206083379</v>
      </c>
      <c r="BJ111" s="62">
        <f t="shared" si="92"/>
        <v>341.23389735986342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93.669929463061393</v>
      </c>
      <c r="BQ111" s="23">
        <f>EXP(-LN(2)/25)*BQ110+(1-EXP(-LN(2)/25))/(LN(2)/25)*Calculateur!BL111*Calculateur!BN111*VLOOKUP('Données projet'!$B$11,Paramètres!$A$1:$I$89,3,0)*0.475*44/12</f>
        <v>11.484305866216248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105.15423532927764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6.8</v>
      </c>
      <c r="N112" s="14">
        <f>IF('Données projet'!$A$36&gt;35,N111+M112-V111,IF(A112&lt;'Données projet'!$A$36,$K$205^A112,IF(A112='Données projet'!$A$36,'Données projet'!$B$36,N111+M112-V111)))</f>
        <v>264.19999999999993</v>
      </c>
      <c r="O112" s="14">
        <f>N112*VLOOKUP('Données projet'!$B$9,Paramètres!$A$1:$I$89,3,0)*VLOOKUP('Données projet'!$B$9,Paramètres!$A$1:$I$89,5,0)</f>
        <v>239.04815999999994</v>
      </c>
      <c r="P112" s="14">
        <f t="shared" si="87"/>
        <v>58.234690128947292</v>
      </c>
      <c r="Q112" s="22">
        <f t="shared" si="107"/>
        <v>517.76763064124975</v>
      </c>
      <c r="R112" s="62">
        <f t="shared" si="55"/>
        <v>811.10096397458301</v>
      </c>
      <c r="S112" s="62">
        <f ca="1">AVERAGE(OFFSET($R$3,0,0,'Données projet'!$E$9+1,1))-AVERAGE(OFFSET($H$3,0,0,'Données projet'!$E$9+1,1))</f>
        <v>430.41482167204606</v>
      </c>
      <c r="T112" s="62">
        <f t="shared" si="88"/>
        <v>177.02794100524551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30.794061604405499</v>
      </c>
      <c r="AA112" s="23">
        <f>EXP(-LN(2)/25)*AA111+(1-EXP(-LN(2)/25))/(LN(2)/25)*Calculateur!V112*Calculateur!X112*VLOOKUP('Données projet'!$B$9,Paramètres!$A$1:$I$89,3,0)*0.475*44/12</f>
        <v>20.622865301158644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51.416926905564139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1.2710188457276673E-13</v>
      </c>
      <c r="AK112" s="14">
        <f t="shared" si="89"/>
        <v>1.856866851063998E-12</v>
      </c>
      <c r="AL112" s="22">
        <f t="shared" si="58"/>
        <v>3.4554122145673649E-12</v>
      </c>
      <c r="AM112" s="62">
        <f t="shared" si="59"/>
        <v>293.33333333333678</v>
      </c>
      <c r="AN112" s="62">
        <f ca="1">AVERAGE(OFFSET($AM$3,0,0,'Données projet'!$E$10+1,1))-AVERAGE(OFFSET($H$3,0,0,'Données projet'!$E$10+1,1))</f>
        <v>507.43397352006832</v>
      </c>
      <c r="AO112" s="62">
        <f t="shared" si="90"/>
        <v>631.65579929520936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149.52636080989882</v>
      </c>
      <c r="AV112" s="23">
        <f>EXP(-LN(2)/25)*AV111+(1-EXP(-LN(2)/25))/(LN(2)/25)*Calculateur!AQ112*Calculateur!AS112*VLOOKUP('Données projet'!$B$10,Paramètres!$A$1:$I$89,3,0)*0.475*44/12</f>
        <v>12.696850422439054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162.22321123233786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1.7053025658242404E-13</v>
      </c>
      <c r="BE112" s="14">
        <f>BD112*VLOOKUP('Données projet'!$B$11,Paramètres!$A$1:$I$89,3,0)*VLOOKUP('Données projet'!$B$11,Paramètres!$A$1:$I$89,5,0)</f>
        <v>1.3301360013429075E-13</v>
      </c>
      <c r="BF112" s="14">
        <f t="shared" si="91"/>
        <v>1.9329766731057041E-12</v>
      </c>
      <c r="BG112" s="22">
        <f t="shared" si="61"/>
        <v>3.5982663925596575E-12</v>
      </c>
      <c r="BH112" s="62">
        <f t="shared" si="62"/>
        <v>293.3333333333369</v>
      </c>
      <c r="BI112" s="62">
        <f ca="1">AVERAGE(OFFSET($BH$3,0,0,'Données projet'!$E$11+1,1))-AVERAGE(OFFSET($H$3,0,0,'Données projet'!$E$11+1,1))</f>
        <v>357.65167206083379</v>
      </c>
      <c r="BJ112" s="62">
        <f t="shared" si="92"/>
        <v>341.23389735986342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91.833119279306317</v>
      </c>
      <c r="BQ112" s="23">
        <f>EXP(-LN(2)/25)*BQ111+(1-EXP(-LN(2)/25))/(LN(2)/25)*Calculateur!BL112*Calculateur!BN112*VLOOKUP('Données projet'!$B$11,Paramètres!$A$1:$I$89,3,0)*0.475*44/12</f>
        <v>11.170266918371167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103.00338619767749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6.8</v>
      </c>
      <c r="N113" s="14">
        <f>IF('Données projet'!$A$36&gt;35,N112+M113-V112,IF(A113&lt;'Données projet'!$A$36,$K$205^A113,IF(A113='Données projet'!$A$36,'Données projet'!$B$36,N112+M113-V112)))</f>
        <v>270.99999999999994</v>
      </c>
      <c r="O113" s="14">
        <f>N113*VLOOKUP('Données projet'!$B$9,Paramètres!$A$1:$I$89,3,0)*VLOOKUP('Données projet'!$B$9,Paramètres!$A$1:$I$89,5,0)</f>
        <v>245.20079999999993</v>
      </c>
      <c r="P113" s="14">
        <f t="shared" si="87"/>
        <v>59.557107941433735</v>
      </c>
      <c r="Q113" s="22">
        <f t="shared" si="107"/>
        <v>530.78668966466364</v>
      </c>
      <c r="R113" s="62">
        <f t="shared" si="55"/>
        <v>824.12002299799701</v>
      </c>
      <c r="S113" s="62">
        <f ca="1">AVERAGE(OFFSET($R$3,0,0,'Données projet'!$E$9+1,1))-AVERAGE(OFFSET($H$3,0,0,'Données projet'!$E$9+1,1))</f>
        <v>430.41482167204606</v>
      </c>
      <c r="T113" s="62">
        <f t="shared" si="88"/>
        <v>177.02794100524551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30.190208838866067</v>
      </c>
      <c r="AA113" s="23">
        <f>EXP(-LN(2)/25)*AA112+(1-EXP(-LN(2)/25))/(LN(2)/25)*Calculateur!V113*Calculateur!X113*VLOOKUP('Données projet'!$B$9,Paramètres!$A$1:$I$89,3,0)*0.475*44/12</f>
        <v>20.05893196498911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50.249140803855177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1.2710188457276673E-13</v>
      </c>
      <c r="AK113" s="14">
        <f t="shared" si="89"/>
        <v>1.856866851063998E-12</v>
      </c>
      <c r="AL113" s="22">
        <f t="shared" si="58"/>
        <v>3.4554122145673649E-12</v>
      </c>
      <c r="AM113" s="62">
        <f t="shared" si="59"/>
        <v>293.33333333333678</v>
      </c>
      <c r="AN113" s="62">
        <f ca="1">AVERAGE(OFFSET($AM$3,0,0,'Données projet'!$E$10+1,1))-AVERAGE(OFFSET($H$3,0,0,'Données projet'!$E$10+1,1))</f>
        <v>507.43397352006832</v>
      </c>
      <c r="AO113" s="62">
        <f t="shared" si="90"/>
        <v>631.65579929520936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146.59424007649133</v>
      </c>
      <c r="AV113" s="23">
        <f>EXP(-LN(2)/25)*AV112+(1-EXP(-LN(2)/25))/(LN(2)/25)*Calculateur!AQ113*Calculateur!AS113*VLOOKUP('Données projet'!$B$10,Paramètres!$A$1:$I$89,3,0)*0.475*44/12</f>
        <v>12.349654379939114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158.94389445643046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1.7053025658242404E-13</v>
      </c>
      <c r="BE113" s="14">
        <f>BD113*VLOOKUP('Données projet'!$B$11,Paramètres!$A$1:$I$89,3,0)*VLOOKUP('Données projet'!$B$11,Paramètres!$A$1:$I$89,5,0)</f>
        <v>1.3301360013429075E-13</v>
      </c>
      <c r="BF113" s="14">
        <f t="shared" si="91"/>
        <v>1.9329766731057041E-12</v>
      </c>
      <c r="BG113" s="22">
        <f t="shared" si="61"/>
        <v>3.5982663925596575E-12</v>
      </c>
      <c r="BH113" s="62">
        <f t="shared" si="62"/>
        <v>293.3333333333369</v>
      </c>
      <c r="BI113" s="62">
        <f ca="1">AVERAGE(OFFSET($BH$3,0,0,'Données projet'!$E$11+1,1))-AVERAGE(OFFSET($H$3,0,0,'Données projet'!$E$11+1,1))</f>
        <v>357.65167206083379</v>
      </c>
      <c r="BJ113" s="62">
        <f t="shared" si="92"/>
        <v>341.23389735986342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90.032327822911085</v>
      </c>
      <c r="BQ113" s="23">
        <f>EXP(-LN(2)/25)*BQ112+(1-EXP(-LN(2)/25))/(LN(2)/25)*Calculateur!BL113*Calculateur!BN113*VLOOKUP('Données projet'!$B$11,Paramètres!$A$1:$I$89,3,0)*0.475*44/12</f>
        <v>10.8648153820695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100.89714320498058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6.8</v>
      </c>
      <c r="N114" s="14">
        <f>IF('Données projet'!$A$36&gt;35,N113+M114-V113,IF(A114&lt;'Données projet'!$A$36,$K$205^A114,IF(A114='Données projet'!$A$36,'Données projet'!$B$36,N113+M114-V113)))</f>
        <v>277.79999999999995</v>
      </c>
      <c r="O114" s="14">
        <f>N114*VLOOKUP('Données projet'!$B$9,Paramètres!$A$1:$I$89,3,0)*VLOOKUP('Données projet'!$B$9,Paramètres!$A$1:$I$89,5,0)</f>
        <v>251.35343999999995</v>
      </c>
      <c r="P114" s="14">
        <f t="shared" si="87"/>
        <v>60.875668525285015</v>
      </c>
      <c r="Q114" s="22">
        <f t="shared" si="107"/>
        <v>543.79903068153794</v>
      </c>
      <c r="R114" s="62">
        <f t="shared" si="55"/>
        <v>837.1323640148712</v>
      </c>
      <c r="S114" s="62">
        <f ca="1">AVERAGE(OFFSET($R$3,0,0,'Données projet'!$E$9+1,1))-AVERAGE(OFFSET($H$3,0,0,'Données projet'!$E$9+1,1))</f>
        <v>430.41482167204606</v>
      </c>
      <c r="T114" s="62">
        <f t="shared" si="88"/>
        <v>177.02794100524551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29.598197257745042</v>
      </c>
      <c r="AA114" s="23">
        <f>EXP(-LN(2)/25)*AA113+(1-EXP(-LN(2)/25))/(LN(2)/25)*Calculateur!V114*Calculateur!X114*VLOOKUP('Données projet'!$B$9,Paramètres!$A$1:$I$89,3,0)*0.475*44/12</f>
        <v>19.510419415553095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49.108616673298137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1.2710188457276673E-13</v>
      </c>
      <c r="AK114" s="14">
        <f t="shared" si="89"/>
        <v>1.856866851063998E-12</v>
      </c>
      <c r="AL114" s="22">
        <f t="shared" si="58"/>
        <v>3.4554122145673649E-12</v>
      </c>
      <c r="AM114" s="62">
        <f t="shared" si="59"/>
        <v>293.33333333333678</v>
      </c>
      <c r="AN114" s="62">
        <f ca="1">AVERAGE(OFFSET($AM$3,0,0,'Données projet'!$E$10+1,1))-AVERAGE(OFFSET($H$3,0,0,'Données projet'!$E$10+1,1))</f>
        <v>507.43397352006832</v>
      </c>
      <c r="AO114" s="62">
        <f t="shared" si="90"/>
        <v>631.65579929520936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143.71961644224891</v>
      </c>
      <c r="AV114" s="23">
        <f>EXP(-LN(2)/25)*AV113+(1-EXP(-LN(2)/25))/(LN(2)/25)*Calculateur!AQ114*Calculateur!AS114*VLOOKUP('Données projet'!$B$10,Paramètres!$A$1:$I$89,3,0)*0.475*44/12</f>
        <v>12.01195243147958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155.73156887372849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1.7053025658242404E-13</v>
      </c>
      <c r="BE114" s="14">
        <f>BD114*VLOOKUP('Données projet'!$B$11,Paramètres!$A$1:$I$89,3,0)*VLOOKUP('Données projet'!$B$11,Paramètres!$A$1:$I$89,5,0)</f>
        <v>1.3301360013429075E-13</v>
      </c>
      <c r="BF114" s="14">
        <f t="shared" si="91"/>
        <v>1.9329766731057041E-12</v>
      </c>
      <c r="BG114" s="22">
        <f t="shared" si="61"/>
        <v>3.5982663925596575E-12</v>
      </c>
      <c r="BH114" s="62">
        <f t="shared" si="62"/>
        <v>293.3333333333369</v>
      </c>
      <c r="BI114" s="62">
        <f ca="1">AVERAGE(OFFSET($BH$3,0,0,'Données projet'!$E$11+1,1))-AVERAGE(OFFSET($H$3,0,0,'Données projet'!$E$11+1,1))</f>
        <v>357.65167206083379</v>
      </c>
      <c r="BJ114" s="62">
        <f t="shared" si="92"/>
        <v>341.23389735986342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88.266848788601436</v>
      </c>
      <c r="BQ114" s="23">
        <f>EXP(-LN(2)/25)*BQ113+(1-EXP(-LN(2)/25))/(LN(2)/25)*Calculateur!BL114*Calculateur!BN114*VLOOKUP('Données projet'!$B$11,Paramètres!$A$1:$I$89,3,0)*0.475*44/12</f>
        <v>10.567716434091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98.834565222692433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6.8</v>
      </c>
      <c r="N115" s="14">
        <f>IF('Données projet'!$A$36&gt;35,N114+M115-V114,IF(A115&lt;'Données projet'!$A$36,$K$205^A115,IF(A115='Données projet'!$A$36,'Données projet'!$B$36,N114+M115-V114)))</f>
        <v>284.59999999999997</v>
      </c>
      <c r="O115" s="14">
        <f>N115*VLOOKUP('Données projet'!$B$9,Paramètres!$A$1:$I$89,3,0)*VLOOKUP('Données projet'!$B$9,Paramètres!$A$1:$I$89,5,0)</f>
        <v>257.50607999999994</v>
      </c>
      <c r="P115" s="14">
        <f t="shared" si="87"/>
        <v>62.190477159330463</v>
      </c>
      <c r="Q115" s="22">
        <f t="shared" si="107"/>
        <v>556.80483705250037</v>
      </c>
      <c r="R115" s="62">
        <f t="shared" si="55"/>
        <v>850.13817038583375</v>
      </c>
      <c r="S115" s="62">
        <f ca="1">AVERAGE(OFFSET($R$3,0,0,'Données projet'!$E$9+1,1))-AVERAGE(OFFSET($H$3,0,0,'Données projet'!$E$9+1,1))</f>
        <v>430.41482167204606</v>
      </c>
      <c r="T115" s="62">
        <f t="shared" si="88"/>
        <v>177.02794100524551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29.017794662638391</v>
      </c>
      <c r="AA115" s="23">
        <f>EXP(-LN(2)/25)*AA114+(1-EXP(-LN(2)/25))/(LN(2)/25)*Calculateur!V115*Calculateur!X115*VLOOKUP('Données projet'!$B$9,Paramètres!$A$1:$I$89,3,0)*0.475*44/12</f>
        <v>18.976905970626429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47.99470063326482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1.2710188457276673E-13</v>
      </c>
      <c r="AK115" s="14">
        <f t="shared" si="89"/>
        <v>1.856866851063998E-12</v>
      </c>
      <c r="AL115" s="22">
        <f t="shared" si="58"/>
        <v>3.4554122145673649E-12</v>
      </c>
      <c r="AM115" s="62">
        <f t="shared" si="59"/>
        <v>293.33333333333678</v>
      </c>
      <c r="AN115" s="62">
        <f ca="1">AVERAGE(OFFSET($AM$3,0,0,'Données projet'!$E$10+1,1))-AVERAGE(OFFSET($H$3,0,0,'Données projet'!$E$10+1,1))</f>
        <v>507.43397352006832</v>
      </c>
      <c r="AO115" s="62">
        <f t="shared" si="90"/>
        <v>631.65579929520936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140.90136242412669</v>
      </c>
      <c r="AV115" s="23">
        <f>EXP(-LN(2)/25)*AV114+(1-EXP(-LN(2)/25))/(LN(2)/25)*Calculateur!AQ115*Calculateur!AS115*VLOOKUP('Données projet'!$B$10,Paramètres!$A$1:$I$89,3,0)*0.475*44/12</f>
        <v>11.683484960559646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152.58484738468633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1.7053025658242404E-13</v>
      </c>
      <c r="BE115" s="14">
        <f>BD115*VLOOKUP('Données projet'!$B$11,Paramètres!$A$1:$I$89,3,0)*VLOOKUP('Données projet'!$B$11,Paramètres!$A$1:$I$89,5,0)</f>
        <v>1.3301360013429075E-13</v>
      </c>
      <c r="BF115" s="14">
        <f t="shared" si="91"/>
        <v>1.9329766731057041E-12</v>
      </c>
      <c r="BG115" s="22">
        <f t="shared" si="61"/>
        <v>3.5982663925596575E-12</v>
      </c>
      <c r="BH115" s="62">
        <f t="shared" si="62"/>
        <v>293.3333333333369</v>
      </c>
      <c r="BI115" s="62">
        <f ca="1">AVERAGE(OFFSET($BH$3,0,0,'Données projet'!$E$11+1,1))-AVERAGE(OFFSET($H$3,0,0,'Données projet'!$E$11+1,1))</f>
        <v>357.65167206083379</v>
      </c>
      <c r="BJ115" s="62">
        <f t="shared" si="92"/>
        <v>341.23389735986342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86.535989721318714</v>
      </c>
      <c r="BQ115" s="23">
        <f>EXP(-LN(2)/25)*BQ114+(1-EXP(-LN(2)/25))/(LN(2)/25)*Calculateur!BL115*Calculateur!BN115*VLOOKUP('Données projet'!$B$11,Paramètres!$A$1:$I$89,3,0)*0.475*44/12</f>
        <v>10.278741672468728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96.81473139378744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6.8</v>
      </c>
      <c r="N116" s="14">
        <f>IF('Données projet'!$A$36&gt;35,N115+M116-V115,IF(A116&lt;'Données projet'!$A$36,$K$205^A116,IF(A116='Données projet'!$A$36,'Données projet'!$B$36,N115+M116-V115)))</f>
        <v>291.39999999999998</v>
      </c>
      <c r="O116" s="14">
        <f>N116*VLOOKUP('Données projet'!$B$9,Paramètres!$A$1:$I$89,3,0)*VLOOKUP('Données projet'!$B$9,Paramètres!$A$1:$I$89,5,0)</f>
        <v>263.65871999999996</v>
      </c>
      <c r="P116" s="14">
        <f t="shared" si="87"/>
        <v>63.501633804581523</v>
      </c>
      <c r="Q116" s="22">
        <f t="shared" si="107"/>
        <v>569.80428287631264</v>
      </c>
      <c r="R116" s="62">
        <f t="shared" si="55"/>
        <v>863.13761620964601</v>
      </c>
      <c r="S116" s="62">
        <f ca="1">AVERAGE(OFFSET($R$3,0,0,'Données projet'!$E$9+1,1))-AVERAGE(OFFSET($H$3,0,0,'Données projet'!$E$9+1,1))</f>
        <v>430.41482167204606</v>
      </c>
      <c r="T116" s="62">
        <f t="shared" si="88"/>
        <v>177.02794100524551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28.448773408411153</v>
      </c>
      <c r="AA116" s="23">
        <f>EXP(-LN(2)/25)*AA115+(1-EXP(-LN(2)/25))/(LN(2)/25)*Calculateur!V116*Calculateur!X116*VLOOKUP('Données projet'!$B$9,Paramètres!$A$1:$I$89,3,0)*0.475*44/12</f>
        <v>18.457981478907538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46.906754887318691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1.2710188457276673E-13</v>
      </c>
      <c r="AK116" s="14">
        <f t="shared" si="89"/>
        <v>1.856866851063998E-12</v>
      </c>
      <c r="AL116" s="22">
        <f t="shared" si="58"/>
        <v>3.4554122145673649E-12</v>
      </c>
      <c r="AM116" s="62">
        <f t="shared" si="59"/>
        <v>293.33333333333678</v>
      </c>
      <c r="AN116" s="62">
        <f ca="1">AVERAGE(OFFSET($AM$3,0,0,'Données projet'!$E$10+1,1))-AVERAGE(OFFSET($H$3,0,0,'Données projet'!$E$10+1,1))</f>
        <v>507.43397352006832</v>
      </c>
      <c r="AO116" s="62">
        <f t="shared" si="90"/>
        <v>631.65579929520936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138.13837264833464</v>
      </c>
      <c r="AV116" s="23">
        <f>EXP(-LN(2)/25)*AV115+(1-EXP(-LN(2)/25))/(LN(2)/25)*Calculateur!AQ116*Calculateur!AS116*VLOOKUP('Données projet'!$B$10,Paramètres!$A$1:$I$89,3,0)*0.475*44/12</f>
        <v>11.363999449905371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149.50237209824002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1.7053025658242404E-13</v>
      </c>
      <c r="BE116" s="14">
        <f>BD116*VLOOKUP('Données projet'!$B$11,Paramètres!$A$1:$I$89,3,0)*VLOOKUP('Données projet'!$B$11,Paramètres!$A$1:$I$89,5,0)</f>
        <v>1.3301360013429075E-13</v>
      </c>
      <c r="BF116" s="14">
        <f t="shared" si="91"/>
        <v>1.9329766731057041E-12</v>
      </c>
      <c r="BG116" s="22">
        <f t="shared" si="61"/>
        <v>3.5982663925596575E-12</v>
      </c>
      <c r="BH116" s="62">
        <f t="shared" si="62"/>
        <v>293.3333333333369</v>
      </c>
      <c r="BI116" s="62">
        <f ca="1">AVERAGE(OFFSET($BH$3,0,0,'Données projet'!$E$11+1,1))-AVERAGE(OFFSET($H$3,0,0,'Données projet'!$E$11+1,1))</f>
        <v>357.65167206083379</v>
      </c>
      <c r="BJ116" s="62">
        <f t="shared" si="92"/>
        <v>341.23389735986342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84.839071744625613</v>
      </c>
      <c r="BQ116" s="23">
        <f>EXP(-LN(2)/25)*BQ115+(1-EXP(-LN(2)/25))/(LN(2)/25)*Calculateur!BL116*Calculateur!BN116*VLOOKUP('Données projet'!$B$11,Paramètres!$A$1:$I$89,3,0)*0.475*44/12</f>
        <v>9.9976689408995387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94.836740685525157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6.8</v>
      </c>
      <c r="N117" s="14">
        <f>IF('Données projet'!$A$36&gt;35,N116+M117-V116,IF(A117&lt;'Données projet'!$A$36,$K$205^A117,IF(A117='Données projet'!$A$36,'Données projet'!$B$36,N116+M117-V116)))</f>
        <v>298.2</v>
      </c>
      <c r="O117" s="14">
        <f>N117*VLOOKUP('Données projet'!$B$9,Paramètres!$A$1:$I$89,3,0)*VLOOKUP('Données projet'!$B$9,Paramètres!$A$1:$I$89,5,0)</f>
        <v>269.81135999999998</v>
      </c>
      <c r="P117" s="14">
        <f t="shared" si="87"/>
        <v>64.809233490575778</v>
      </c>
      <c r="Q117" s="22">
        <f t="shared" si="107"/>
        <v>582.7975336627527</v>
      </c>
      <c r="R117" s="62">
        <f t="shared" si="55"/>
        <v>876.13086699608607</v>
      </c>
      <c r="S117" s="62">
        <f ca="1">AVERAGE(OFFSET($R$3,0,0,'Données projet'!$E$9+1,1))-AVERAGE(OFFSET($H$3,0,0,'Données projet'!$E$9+1,1))</f>
        <v>430.41482167204606</v>
      </c>
      <c r="T117" s="62">
        <f t="shared" si="88"/>
        <v>177.02794100524551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27.890910313910616</v>
      </c>
      <c r="AA117" s="23">
        <f>EXP(-LN(2)/25)*AA116+(1-EXP(-LN(2)/25))/(LN(2)/25)*Calculateur!V117*Calculateur!X117*VLOOKUP('Données projet'!$B$9,Paramètres!$A$1:$I$89,3,0)*0.475*44/12</f>
        <v>17.953247004703751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45.844157318614364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1.2710188457276673E-13</v>
      </c>
      <c r="AK117" s="14">
        <f t="shared" si="89"/>
        <v>1.856866851063998E-12</v>
      </c>
      <c r="AL117" s="22">
        <f t="shared" si="58"/>
        <v>3.4554122145673649E-12</v>
      </c>
      <c r="AM117" s="62">
        <f t="shared" si="59"/>
        <v>293.33333333333678</v>
      </c>
      <c r="AN117" s="62">
        <f ca="1">AVERAGE(OFFSET($AM$3,0,0,'Données projet'!$E$10+1,1))-AVERAGE(OFFSET($H$3,0,0,'Données projet'!$E$10+1,1))</f>
        <v>507.43397352006832</v>
      </c>
      <c r="AO117" s="62">
        <f t="shared" si="90"/>
        <v>631.65579929520936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135.42956341678851</v>
      </c>
      <c r="AV117" s="23">
        <f>EXP(-LN(2)/25)*AV116+(1-EXP(-LN(2)/25))/(LN(2)/25)*Calculateur!AQ117*Calculateur!AS117*VLOOKUP('Données projet'!$B$10,Paramètres!$A$1:$I$89,3,0)*0.475*44/12</f>
        <v>11.053250287340951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146.48281370412946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1.7053025658242404E-13</v>
      </c>
      <c r="BE117" s="14">
        <f>BD117*VLOOKUP('Données projet'!$B$11,Paramètres!$A$1:$I$89,3,0)*VLOOKUP('Données projet'!$B$11,Paramètres!$A$1:$I$89,5,0)</f>
        <v>1.3301360013429075E-13</v>
      </c>
      <c r="BF117" s="14">
        <f t="shared" si="91"/>
        <v>1.9329766731057041E-12</v>
      </c>
      <c r="BG117" s="22">
        <f t="shared" si="61"/>
        <v>3.5982663925596575E-12</v>
      </c>
      <c r="BH117" s="62">
        <f t="shared" si="62"/>
        <v>293.3333333333369</v>
      </c>
      <c r="BI117" s="62">
        <f ca="1">AVERAGE(OFFSET($BH$3,0,0,'Données projet'!$E$11+1,1))-AVERAGE(OFFSET($H$3,0,0,'Données projet'!$E$11+1,1))</f>
        <v>357.65167206083379</v>
      </c>
      <c r="BJ117" s="62">
        <f t="shared" si="92"/>
        <v>341.23389735986342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83.175429294437706</v>
      </c>
      <c r="BQ117" s="23">
        <f>EXP(-LN(2)/25)*BQ116+(1-EXP(-LN(2)/25))/(LN(2)/25)*Calculateur!BL117*Calculateur!BN117*VLOOKUP('Données projet'!$B$11,Paramètres!$A$1:$I$89,3,0)*0.475*44/12</f>
        <v>9.7242821579560808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92.899711452393788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305</v>
      </c>
      <c r="L118" s="13">
        <f>VLOOKUP(A118,'Données projet'!$A$35:$I$55,9,0)</f>
        <v>6.8</v>
      </c>
      <c r="M118" s="13">
        <f t="array" ref="M118">INDEX(L:L,MIN(IF(ISNUMBER(L118:L314),ROW(L118:L314),"")))</f>
        <v>6.8</v>
      </c>
      <c r="N118" s="14">
        <f>IF('Données projet'!$A$36&gt;35,N117+M118-V117,IF(A118&lt;'Données projet'!$A$36,$K$205^A118,IF(A118='Données projet'!$A$36,'Données projet'!$B$36,N117+M118-V117)))</f>
        <v>305</v>
      </c>
      <c r="O118" s="14">
        <f>N118*VLOOKUP('Données projet'!$B$9,Paramètres!$A$1:$I$89,3,0)*VLOOKUP('Données projet'!$B$9,Paramètres!$A$1:$I$89,5,0)</f>
        <v>275.964</v>
      </c>
      <c r="P118" s="14">
        <f t="shared" si="87"/>
        <v>66.113366665488911</v>
      </c>
      <c r="Q118" s="22">
        <f t="shared" si="107"/>
        <v>595.7847469423931</v>
      </c>
      <c r="R118" s="62">
        <f t="shared" si="55"/>
        <v>889.11808027572647</v>
      </c>
      <c r="S118" s="62">
        <f ca="1">AVERAGE(OFFSET($R$3,0,0,'Données projet'!$E$9+1,1))-AVERAGE(OFFSET($H$3,0,0,'Données projet'!$E$9+1,1))</f>
        <v>430.41482167204606</v>
      </c>
      <c r="T118" s="62">
        <f t="shared" si="88"/>
        <v>177.02794100524551</v>
      </c>
      <c r="U118" s="16">
        <f>IF(ISNA(VLOOKUP(A118,'Données projet'!$A$35:$I$55,3,0)),0,VLOOKUP(A118,'Données projet'!$A$35:$I$55,3,0))</f>
        <v>9</v>
      </c>
      <c r="V118" s="16">
        <f>IF(ISNA(VLOOKUP(A118,'Données projet'!$A$35:$I$55,4,0)),0,VLOOKUP(A118,'Données projet'!$A$35:$I$55,4,0))</f>
        <v>44</v>
      </c>
      <c r="W118" s="17">
        <f>IF(ISNA(VLOOKUP(A118,'Données projet'!$A$35:$I$55,5,0)),0%,VLOOKUP(A118,'Données projet'!$A$35:$I$55,5,0)*VLOOKUP('Données projet'!$B$9,Paramètres!$A$1:$I$89,7,0))</f>
        <v>0.215</v>
      </c>
      <c r="X118" s="17">
        <f>IF(ISNA(VLOOKUP(A118,'Données projet'!$A$35:$I$55,6,0)),0%,VLOOKUP(A118,'Données projet'!$A$35:$I$55,6,0)*VLOOKUP('Données projet'!$B$9,Paramètres!$A$1:$I$89,7,0))</f>
        <v>0.17200000000000001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36.806158584767715</v>
      </c>
      <c r="AA118" s="23">
        <f>EXP(-LN(2)/25)*AA117+(1-EXP(-LN(2)/25))/(LN(2)/25)*Calculateur!V118*Calculateur!X118*VLOOKUP('Données projet'!$B$9,Paramètres!$A$1:$I$89,3,0)*0.475*44/12</f>
        <v>25.002247188249886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61.808405773017597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1.2710188457276673E-13</v>
      </c>
      <c r="AK118" s="14">
        <f t="shared" si="89"/>
        <v>1.856866851063998E-12</v>
      </c>
      <c r="AL118" s="22">
        <f t="shared" si="58"/>
        <v>3.4554122145673649E-12</v>
      </c>
      <c r="AM118" s="62">
        <f t="shared" si="59"/>
        <v>293.33333333333678</v>
      </c>
      <c r="AN118" s="62">
        <f ca="1">AVERAGE(OFFSET($AM$3,0,0,'Données projet'!$E$10+1,1))-AVERAGE(OFFSET($H$3,0,0,'Données projet'!$E$10+1,1))</f>
        <v>507.43397352006832</v>
      </c>
      <c r="AO118" s="62">
        <f t="shared" si="90"/>
        <v>631.65579929520936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132.77387228206251</v>
      </c>
      <c r="AV118" s="23">
        <f>EXP(-LN(2)/25)*AV117+(1-EXP(-LN(2)/25))/(LN(2)/25)*Calculateur!AQ118*Calculateur!AS118*VLOOKUP('Données projet'!$B$10,Paramètres!$A$1:$I$89,3,0)*0.475*44/12</f>
        <v>10.750998576968444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143.52487085903095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1.7053025658242404E-13</v>
      </c>
      <c r="BE118" s="14">
        <f>BD118*VLOOKUP('Données projet'!$B$11,Paramètres!$A$1:$I$89,3,0)*VLOOKUP('Données projet'!$B$11,Paramètres!$A$1:$I$89,5,0)</f>
        <v>1.3301360013429075E-13</v>
      </c>
      <c r="BF118" s="14">
        <f t="shared" si="91"/>
        <v>1.9329766731057041E-12</v>
      </c>
      <c r="BG118" s="22">
        <f t="shared" si="61"/>
        <v>3.5982663925596575E-12</v>
      </c>
      <c r="BH118" s="62">
        <f t="shared" si="62"/>
        <v>293.3333333333369</v>
      </c>
      <c r="BI118" s="62">
        <f ca="1">AVERAGE(OFFSET($BH$3,0,0,'Données projet'!$E$11+1,1))-AVERAGE(OFFSET($H$3,0,0,'Données projet'!$E$11+1,1))</f>
        <v>357.65167206083379</v>
      </c>
      <c r="BJ118" s="62">
        <f t="shared" si="92"/>
        <v>341.23389735986342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81.544409857976277</v>
      </c>
      <c r="BQ118" s="23">
        <f>EXP(-LN(2)/25)*BQ117+(1-EXP(-LN(2)/25))/(LN(2)/25)*Calculateur!BL118*Calculateur!BN118*VLOOKUP('Données projet'!$B$11,Paramètres!$A$1:$I$89,3,0)*0.475*44/12</f>
        <v>9.4583711509689987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91.002781008945277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6.5</v>
      </c>
      <c r="N119" s="14">
        <f>IF('Données projet'!$A$36&gt;35,N118+M119-V118,IF(A119&lt;'Données projet'!$A$36,$K$205^A119,IF(A119='Données projet'!$A$36,'Données projet'!$B$36,N118+M119-V118)))</f>
        <v>267.5</v>
      </c>
      <c r="O119" s="14">
        <f>N119*VLOOKUP('Données projet'!$B$9,Paramètres!$A$1:$I$89,3,0)*VLOOKUP('Données projet'!$B$9,Paramètres!$A$1:$I$89,5,0)</f>
        <v>242.03399999999996</v>
      </c>
      <c r="P119" s="14">
        <f t="shared" si="87"/>
        <v>58.876940312016181</v>
      </c>
      <c r="Q119" s="22">
        <f t="shared" si="107"/>
        <v>524.08655437676134</v>
      </c>
      <c r="R119" s="62">
        <f t="shared" si="55"/>
        <v>817.4198877100946</v>
      </c>
      <c r="S119" s="62">
        <f ca="1">AVERAGE(OFFSET($R$3,0,0,'Données projet'!$E$9+1,1))-AVERAGE(OFFSET($H$3,0,0,'Données projet'!$E$9+1,1))</f>
        <v>430.41482167204606</v>
      </c>
      <c r="T119" s="62">
        <f t="shared" si="88"/>
        <v>177.02794100524551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36.084412264460447</v>
      </c>
      <c r="AA119" s="23">
        <f>EXP(-LN(2)/25)*AA118+(1-EXP(-LN(2)/25))/(LN(2)/25)*Calculateur!V119*Calculateur!X119*VLOOKUP('Données projet'!$B$9,Paramètres!$A$1:$I$89,3,0)*0.475*44/12</f>
        <v>24.318559424076156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60.402971688536603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1.2710188457276673E-13</v>
      </c>
      <c r="AK119" s="14">
        <f t="shared" si="89"/>
        <v>1.856866851063998E-12</v>
      </c>
      <c r="AL119" s="22">
        <f t="shared" si="58"/>
        <v>3.4554122145673649E-12</v>
      </c>
      <c r="AM119" s="62">
        <f t="shared" si="59"/>
        <v>293.33333333333678</v>
      </c>
      <c r="AN119" s="62">
        <f ca="1">AVERAGE(OFFSET($AM$3,0,0,'Données projet'!$E$10+1,1))-AVERAGE(OFFSET($H$3,0,0,'Données projet'!$E$10+1,1))</f>
        <v>507.43397352006832</v>
      </c>
      <c r="AO119" s="62">
        <f t="shared" si="90"/>
        <v>631.65579929520936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130.17025763067684</v>
      </c>
      <c r="AV119" s="23">
        <f>EXP(-LN(2)/25)*AV118+(1-EXP(-LN(2)/25))/(LN(2)/25)*Calculateur!AQ119*Calculateur!AS119*VLOOKUP('Données projet'!$B$10,Paramètres!$A$1:$I$89,3,0)*0.475*44/12</f>
        <v>10.457011955510799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140.62726958618765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1.7053025658242404E-13</v>
      </c>
      <c r="BE119" s="14">
        <f>BD119*VLOOKUP('Données projet'!$B$11,Paramètres!$A$1:$I$89,3,0)*VLOOKUP('Données projet'!$B$11,Paramètres!$A$1:$I$89,5,0)</f>
        <v>1.3301360013429075E-13</v>
      </c>
      <c r="BF119" s="14">
        <f t="shared" si="91"/>
        <v>1.9329766731057041E-12</v>
      </c>
      <c r="BG119" s="22">
        <f t="shared" si="61"/>
        <v>3.5982663925596575E-12</v>
      </c>
      <c r="BH119" s="62">
        <f t="shared" si="62"/>
        <v>293.3333333333369</v>
      </c>
      <c r="BI119" s="62">
        <f ca="1">AVERAGE(OFFSET($BH$3,0,0,'Données projet'!$E$11+1,1))-AVERAGE(OFFSET($H$3,0,0,'Données projet'!$E$11+1,1))</f>
        <v>357.65167206083379</v>
      </c>
      <c r="BJ119" s="62">
        <f t="shared" si="92"/>
        <v>341.23389735986342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79.945373717840241</v>
      </c>
      <c r="BQ119" s="23">
        <f>EXP(-LN(2)/25)*BQ118+(1-EXP(-LN(2)/25))/(LN(2)/25)*Calculateur!BL119*Calculateur!BN119*VLOOKUP('Données projet'!$B$11,Paramètres!$A$1:$I$89,3,0)*0.475*44/12</f>
        <v>9.1997314944516297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89.145105212291867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6.5</v>
      </c>
      <c r="N120" s="14">
        <f>IF('Données projet'!$A$36&gt;35,N119+M120-V119,IF(A120&lt;'Données projet'!$A$36,$K$205^A120,IF(A120='Données projet'!$A$36,'Données projet'!$B$36,N119+M120-V119)))</f>
        <v>274</v>
      </c>
      <c r="O120" s="14">
        <f>N120*VLOOKUP('Données projet'!$B$9,Paramètres!$A$1:$I$89,3,0)*VLOOKUP('Données projet'!$B$9,Paramètres!$A$1:$I$89,5,0)</f>
        <v>247.9152</v>
      </c>
      <c r="P120" s="14">
        <f t="shared" si="87"/>
        <v>60.139294964297406</v>
      </c>
      <c r="Q120" s="22">
        <f t="shared" si="107"/>
        <v>536.52824539615131</v>
      </c>
      <c r="R120" s="62">
        <f t="shared" si="55"/>
        <v>829.86157872948456</v>
      </c>
      <c r="S120" s="62">
        <f ca="1">AVERAGE(OFFSET($R$3,0,0,'Données projet'!$E$9+1,1))-AVERAGE(OFFSET($H$3,0,0,'Données projet'!$E$9+1,1))</f>
        <v>430.41482167204606</v>
      </c>
      <c r="T120" s="62">
        <f t="shared" si="88"/>
        <v>177.02794100524551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35.376818949272618</v>
      </c>
      <c r="AA120" s="23">
        <f>EXP(-LN(2)/25)*AA119+(1-EXP(-LN(2)/25))/(LN(2)/25)*Calculateur!V120*Calculateur!X120*VLOOKUP('Données projet'!$B$9,Paramètres!$A$1:$I$89,3,0)*0.475*44/12</f>
        <v>23.653567137767336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59.030386087039957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1.2710188457276673E-13</v>
      </c>
      <c r="AK120" s="14">
        <f t="shared" si="89"/>
        <v>1.856866851063998E-12</v>
      </c>
      <c r="AL120" s="22">
        <f t="shared" si="58"/>
        <v>3.4554122145673649E-12</v>
      </c>
      <c r="AM120" s="62">
        <f t="shared" si="59"/>
        <v>293.33333333333678</v>
      </c>
      <c r="AN120" s="62">
        <f ca="1">AVERAGE(OFFSET($AM$3,0,0,'Données projet'!$E$10+1,1))-AVERAGE(OFFSET($H$3,0,0,'Données projet'!$E$10+1,1))</f>
        <v>507.43397352006832</v>
      </c>
      <c r="AO120" s="62">
        <f t="shared" si="90"/>
        <v>631.65579929520936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127.61769827455672</v>
      </c>
      <c r="AV120" s="23">
        <f>EXP(-LN(2)/25)*AV119+(1-EXP(-LN(2)/25))/(LN(2)/25)*Calculateur!AQ120*Calculateur!AS120*VLOOKUP('Données projet'!$B$10,Paramètres!$A$1:$I$89,3,0)*0.475*44/12</f>
        <v>10.171064413676998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137.7887626882337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1.7053025658242404E-13</v>
      </c>
      <c r="BE120" s="14">
        <f>BD120*VLOOKUP('Données projet'!$B$11,Paramètres!$A$1:$I$89,3,0)*VLOOKUP('Données projet'!$B$11,Paramètres!$A$1:$I$89,5,0)</f>
        <v>1.3301360013429075E-13</v>
      </c>
      <c r="BF120" s="14">
        <f t="shared" si="91"/>
        <v>1.9329766731057041E-12</v>
      </c>
      <c r="BG120" s="22">
        <f t="shared" si="61"/>
        <v>3.5982663925596575E-12</v>
      </c>
      <c r="BH120" s="62">
        <f t="shared" si="62"/>
        <v>293.3333333333369</v>
      </c>
      <c r="BI120" s="62">
        <f ca="1">AVERAGE(OFFSET($BH$3,0,0,'Données projet'!$E$11+1,1))-AVERAGE(OFFSET($H$3,0,0,'Données projet'!$E$11+1,1))</f>
        <v>357.65167206083379</v>
      </c>
      <c r="BJ120" s="62">
        <f t="shared" si="92"/>
        <v>341.23389735986342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78.377693701096533</v>
      </c>
      <c r="BQ120" s="23">
        <f>EXP(-LN(2)/25)*BQ119+(1-EXP(-LN(2)/25))/(LN(2)/25)*Calculateur!BL120*Calculateur!BN120*VLOOKUP('Données projet'!$B$11,Paramètres!$A$1:$I$89,3,0)*0.475*44/12</f>
        <v>8.9481643529429977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87.325858054039529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6.5</v>
      </c>
      <c r="N121" s="14">
        <f>IF('Données projet'!$A$36&gt;35,N120+M121-V120,IF(A121&lt;'Données projet'!$A$36,$K$205^A121,IF(A121='Données projet'!$A$36,'Données projet'!$B$36,N120+M121-V120)))</f>
        <v>280.5</v>
      </c>
      <c r="O121" s="14">
        <f>N121*VLOOKUP('Données projet'!$B$9,Paramètres!$A$1:$I$89,3,0)*VLOOKUP('Données projet'!$B$9,Paramètres!$A$1:$I$89,5,0)</f>
        <v>253.79640000000001</v>
      </c>
      <c r="P121" s="14">
        <f t="shared" si="87"/>
        <v>61.39816832228076</v>
      </c>
      <c r="Q121" s="22">
        <f t="shared" si="107"/>
        <v>548.96387316130563</v>
      </c>
      <c r="R121" s="62">
        <f t="shared" si="55"/>
        <v>842.29720649463889</v>
      </c>
      <c r="S121" s="62">
        <f ca="1">AVERAGE(OFFSET($R$3,0,0,'Données projet'!$E$9+1,1))-AVERAGE(OFFSET($H$3,0,0,'Données projet'!$E$9+1,1))</f>
        <v>430.41482167204606</v>
      </c>
      <c r="T121" s="62">
        <f t="shared" si="88"/>
        <v>177.02794100524551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34.683101107406316</v>
      </c>
      <c r="AA121" s="23">
        <f>EXP(-LN(2)/25)*AA120+(1-EXP(-LN(2)/25))/(LN(2)/25)*Calculateur!V121*Calculateur!X121*VLOOKUP('Données projet'!$B$9,Paramètres!$A$1:$I$89,3,0)*0.475*44/12</f>
        <v>23.006759100498055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57.689860207904374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1.2710188457276673E-13</v>
      </c>
      <c r="AK121" s="14">
        <f t="shared" si="89"/>
        <v>1.856866851063998E-12</v>
      </c>
      <c r="AL121" s="22">
        <f t="shared" si="58"/>
        <v>3.4554122145673649E-12</v>
      </c>
      <c r="AM121" s="62">
        <f t="shared" si="59"/>
        <v>293.33333333333678</v>
      </c>
      <c r="AN121" s="62">
        <f ca="1">AVERAGE(OFFSET($AM$3,0,0,'Données projet'!$E$10+1,1))-AVERAGE(OFFSET($H$3,0,0,'Données projet'!$E$10+1,1))</f>
        <v>507.43397352006832</v>
      </c>
      <c r="AO121" s="62">
        <f t="shared" si="90"/>
        <v>631.65579929520936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125.11519305050263</v>
      </c>
      <c r="AV121" s="23">
        <f>EXP(-LN(2)/25)*AV120+(1-EXP(-LN(2)/25))/(LN(2)/25)*Calculateur!AQ121*Calculateur!AS121*VLOOKUP('Données projet'!$B$10,Paramètres!$A$1:$I$89,3,0)*0.475*44/12</f>
        <v>9.8929361224119692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135.00812917291461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1.7053025658242404E-13</v>
      </c>
      <c r="BE121" s="14">
        <f>BD121*VLOOKUP('Données projet'!$B$11,Paramètres!$A$1:$I$89,3,0)*VLOOKUP('Données projet'!$B$11,Paramètres!$A$1:$I$89,5,0)</f>
        <v>1.3301360013429075E-13</v>
      </c>
      <c r="BF121" s="14">
        <f t="shared" si="91"/>
        <v>1.9329766731057041E-12</v>
      </c>
      <c r="BG121" s="22">
        <f t="shared" si="61"/>
        <v>3.5982663925596575E-12</v>
      </c>
      <c r="BH121" s="62">
        <f t="shared" si="62"/>
        <v>293.3333333333369</v>
      </c>
      <c r="BI121" s="62">
        <f ca="1">AVERAGE(OFFSET($BH$3,0,0,'Données projet'!$E$11+1,1))-AVERAGE(OFFSET($H$3,0,0,'Données projet'!$E$11+1,1))</f>
        <v>357.65167206083379</v>
      </c>
      <c r="BJ121" s="62">
        <f t="shared" si="92"/>
        <v>341.23389735986342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76.840754933290768</v>
      </c>
      <c r="BQ121" s="23">
        <f>EXP(-LN(2)/25)*BQ120+(1-EXP(-LN(2)/25))/(LN(2)/25)*Calculateur!BL121*Calculateur!BN121*VLOOKUP('Données projet'!$B$11,Paramètres!$A$1:$I$89,3,0)*0.475*44/12</f>
        <v>8.703476328148259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85.544231261439023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6.5</v>
      </c>
      <c r="N122" s="14">
        <f>IF('Données projet'!$A$36&gt;35,N121+M122-V121,IF(A122&lt;'Données projet'!$A$36,$K$205^A122,IF(A122='Données projet'!$A$36,'Données projet'!$B$36,N121+M122-V121)))</f>
        <v>287</v>
      </c>
      <c r="O122" s="14">
        <f>N122*VLOOKUP('Données projet'!$B$9,Paramètres!$A$1:$I$89,3,0)*VLOOKUP('Données projet'!$B$9,Paramètres!$A$1:$I$89,5,0)</f>
        <v>259.67759999999998</v>
      </c>
      <c r="P122" s="14">
        <f t="shared" si="87"/>
        <v>62.653650342775357</v>
      </c>
      <c r="Q122" s="22">
        <f t="shared" si="107"/>
        <v>561.39359434700032</v>
      </c>
      <c r="R122" s="62">
        <f t="shared" si="55"/>
        <v>854.72692768033357</v>
      </c>
      <c r="S122" s="62">
        <f ca="1">AVERAGE(OFFSET($R$3,0,0,'Données projet'!$E$9+1,1))-AVERAGE(OFFSET($H$3,0,0,'Données projet'!$E$9+1,1))</f>
        <v>430.41482167204606</v>
      </c>
      <c r="T122" s="62">
        <f t="shared" si="88"/>
        <v>177.02794100524551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34.002986649292907</v>
      </c>
      <c r="AA122" s="23">
        <f>EXP(-LN(2)/25)*AA121+(1-EXP(-LN(2)/25))/(LN(2)/25)*Calculateur!V122*Calculateur!X122*VLOOKUP('Données projet'!$B$9,Paramètres!$A$1:$I$89,3,0)*0.475*44/12</f>
        <v>22.377638063022058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56.380624712314969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1.2710188457276673E-13</v>
      </c>
      <c r="AK122" s="14">
        <f t="shared" si="89"/>
        <v>1.856866851063998E-12</v>
      </c>
      <c r="AL122" s="22">
        <f t="shared" si="58"/>
        <v>3.4554122145673649E-12</v>
      </c>
      <c r="AM122" s="62">
        <f t="shared" si="59"/>
        <v>293.33333333333678</v>
      </c>
      <c r="AN122" s="62">
        <f ca="1">AVERAGE(OFFSET($AM$3,0,0,'Données projet'!$E$10+1,1))-AVERAGE(OFFSET($H$3,0,0,'Données projet'!$E$10+1,1))</f>
        <v>507.43397352006832</v>
      </c>
      <c r="AO122" s="62">
        <f t="shared" si="90"/>
        <v>631.65579929520936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122.66176042751478</v>
      </c>
      <c r="AV122" s="23">
        <f>EXP(-LN(2)/25)*AV121+(1-EXP(-LN(2)/25))/(LN(2)/25)*Calculateur!AQ122*Calculateur!AS122*VLOOKUP('Données projet'!$B$10,Paramètres!$A$1:$I$89,3,0)*0.475*44/12</f>
        <v>9.6224132638977142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132.28417369141249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1.7053025658242404E-13</v>
      </c>
      <c r="BE122" s="14">
        <f>BD122*VLOOKUP('Données projet'!$B$11,Paramètres!$A$1:$I$89,3,0)*VLOOKUP('Données projet'!$B$11,Paramètres!$A$1:$I$89,5,0)</f>
        <v>1.3301360013429075E-13</v>
      </c>
      <c r="BF122" s="14">
        <f t="shared" si="91"/>
        <v>1.9329766731057041E-12</v>
      </c>
      <c r="BG122" s="22">
        <f t="shared" si="61"/>
        <v>3.5982663925596575E-12</v>
      </c>
      <c r="BH122" s="62">
        <f t="shared" si="62"/>
        <v>293.3333333333369</v>
      </c>
      <c r="BI122" s="62">
        <f ca="1">AVERAGE(OFFSET($BH$3,0,0,'Données projet'!$E$11+1,1))-AVERAGE(OFFSET($H$3,0,0,'Données projet'!$E$11+1,1))</f>
        <v>357.65167206083379</v>
      </c>
      <c r="BJ122" s="62">
        <f t="shared" si="92"/>
        <v>341.23389735986342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75.33395459728159</v>
      </c>
      <c r="BQ122" s="23">
        <f>EXP(-LN(2)/25)*BQ121+(1-EXP(-LN(2)/25))/(LN(2)/25)*Calculateur!BL122*Calculateur!BN122*VLOOKUP('Données projet'!$B$11,Paramètres!$A$1:$I$89,3,0)*0.475*44/12</f>
        <v>8.4654793102591164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83.799433907540703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6.5</v>
      </c>
      <c r="N123" s="14">
        <f>IF('Données projet'!$A$36&gt;35,N122+M123-V122,IF(A123&lt;'Données projet'!$A$36,$K$205^A123,IF(A123='Données projet'!$A$36,'Données projet'!$B$36,N122+M123-V122)))</f>
        <v>293.5</v>
      </c>
      <c r="O123" s="14">
        <f>N123*VLOOKUP('Données projet'!$B$9,Paramètres!$A$1:$I$89,3,0)*VLOOKUP('Données projet'!$B$9,Paramètres!$A$1:$I$89,5,0)</f>
        <v>265.55880000000002</v>
      </c>
      <c r="P123" s="14">
        <f t="shared" si="87"/>
        <v>63.905826675315303</v>
      </c>
      <c r="Q123" s="22">
        <f t="shared" si="107"/>
        <v>573.81755812617416</v>
      </c>
      <c r="R123" s="62">
        <f t="shared" si="55"/>
        <v>867.15089145950742</v>
      </c>
      <c r="S123" s="62">
        <f ca="1">AVERAGE(OFFSET($R$3,0,0,'Données projet'!$E$9+1,1))-AVERAGE(OFFSET($H$3,0,0,'Données projet'!$E$9+1,1))</f>
        <v>430.41482167204606</v>
      </c>
      <c r="T123" s="62">
        <f t="shared" si="88"/>
        <v>177.02794100524551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33.336208820874248</v>
      </c>
      <c r="AA123" s="23">
        <f>EXP(-LN(2)/25)*AA122+(1-EXP(-LN(2)/25))/(LN(2)/25)*Calculateur!V123*Calculateur!X123*VLOOKUP('Données projet'!$B$9,Paramètres!$A$1:$I$89,3,0)*0.475*44/12</f>
        <v>21.76572037339988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55.101929194274128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1.2710188457276673E-13</v>
      </c>
      <c r="AK123" s="14">
        <f t="shared" si="89"/>
        <v>1.856866851063998E-12</v>
      </c>
      <c r="AL123" s="22">
        <f t="shared" si="58"/>
        <v>3.4554122145673649E-12</v>
      </c>
      <c r="AM123" s="62">
        <f t="shared" si="59"/>
        <v>293.33333333333678</v>
      </c>
      <c r="AN123" s="62">
        <f ca="1">AVERAGE(OFFSET($AM$3,0,0,'Données projet'!$E$10+1,1))-AVERAGE(OFFSET($H$3,0,0,'Données projet'!$E$10+1,1))</f>
        <v>507.43397352006832</v>
      </c>
      <c r="AO123" s="62">
        <f t="shared" si="90"/>
        <v>631.65579929520936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120.25643812181758</v>
      </c>
      <c r="AV123" s="23">
        <f>EXP(-LN(2)/25)*AV122+(1-EXP(-LN(2)/25))/(LN(2)/25)*Calculateur!AQ123*Calculateur!AS123*VLOOKUP('Données projet'!$B$10,Paramètres!$A$1:$I$89,3,0)*0.475*44/12</f>
        <v>9.3592878671757092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129.61572598899329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1.7053025658242404E-13</v>
      </c>
      <c r="BE123" s="14">
        <f>BD123*VLOOKUP('Données projet'!$B$11,Paramètres!$A$1:$I$89,3,0)*VLOOKUP('Données projet'!$B$11,Paramètres!$A$1:$I$89,5,0)</f>
        <v>1.3301360013429075E-13</v>
      </c>
      <c r="BF123" s="14">
        <f t="shared" si="91"/>
        <v>1.9329766731057041E-12</v>
      </c>
      <c r="BG123" s="22">
        <f t="shared" si="61"/>
        <v>3.5982663925596575E-12</v>
      </c>
      <c r="BH123" s="62">
        <f t="shared" si="62"/>
        <v>293.3333333333369</v>
      </c>
      <c r="BI123" s="62">
        <f ca="1">AVERAGE(OFFSET($BH$3,0,0,'Données projet'!$E$11+1,1))-AVERAGE(OFFSET($H$3,0,0,'Données projet'!$E$11+1,1))</f>
        <v>357.65167206083379</v>
      </c>
      <c r="BJ123" s="62">
        <f t="shared" si="92"/>
        <v>341.23389735986342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73.856701696804095</v>
      </c>
      <c r="BQ123" s="23">
        <f>EXP(-LN(2)/25)*BQ122+(1-EXP(-LN(2)/25))/(LN(2)/25)*Calculateur!BL123*Calculateur!BN123*VLOOKUP('Données projet'!$B$11,Paramètres!$A$1:$I$89,3,0)*0.475*44/12</f>
        <v>8.2339903333398716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82.09069203014397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6.5</v>
      </c>
      <c r="N124" s="14">
        <f>IF('Données projet'!$A$36&gt;35,N123+M124-V123,IF(A124&lt;'Données projet'!$A$36,$K$205^A124,IF(A124='Données projet'!$A$36,'Données projet'!$B$36,N123+M124-V123)))</f>
        <v>300</v>
      </c>
      <c r="O124" s="14">
        <f>N124*VLOOKUP('Données projet'!$B$9,Paramètres!$A$1:$I$89,3,0)*VLOOKUP('Données projet'!$B$9,Paramètres!$A$1:$I$89,5,0)</f>
        <v>271.44</v>
      </c>
      <c r="P124" s="14">
        <f t="shared" si="87"/>
        <v>65.154778959151173</v>
      </c>
      <c r="Q124" s="22">
        <f t="shared" si="107"/>
        <v>586.23590668718828</v>
      </c>
      <c r="R124" s="62">
        <f t="shared" si="55"/>
        <v>879.56924002052165</v>
      </c>
      <c r="S124" s="62">
        <f ca="1">AVERAGE(OFFSET($R$3,0,0,'Données projet'!$E$9+1,1))-AVERAGE(OFFSET($H$3,0,0,'Données projet'!$E$9+1,1))</f>
        <v>430.41482167204606</v>
      </c>
      <c r="T124" s="62">
        <f t="shared" si="88"/>
        <v>177.02794100524551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32.68250609897656</v>
      </c>
      <c r="AA124" s="23">
        <f>EXP(-LN(2)/25)*AA123+(1-EXP(-LN(2)/25))/(LN(2)/25)*Calculateur!V124*Calculateur!X124*VLOOKUP('Données projet'!$B$9,Paramètres!$A$1:$I$89,3,0)*0.475*44/12</f>
        <v>21.170535605179772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53.853041704156333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1.2710188457276673E-13</v>
      </c>
      <c r="AK124" s="14">
        <f t="shared" si="89"/>
        <v>1.856866851063998E-12</v>
      </c>
      <c r="AL124" s="22">
        <f t="shared" si="58"/>
        <v>3.4554122145673649E-12</v>
      </c>
      <c r="AM124" s="62">
        <f t="shared" si="59"/>
        <v>293.33333333333678</v>
      </c>
      <c r="AN124" s="62">
        <f ca="1">AVERAGE(OFFSET($AM$3,0,0,'Données projet'!$E$10+1,1))-AVERAGE(OFFSET($H$3,0,0,'Données projet'!$E$10+1,1))</f>
        <v>507.43397352006832</v>
      </c>
      <c r="AO124" s="62">
        <f t="shared" si="90"/>
        <v>631.65579929520936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117.89828271943337</v>
      </c>
      <c r="AV124" s="23">
        <f>EXP(-LN(2)/25)*AV123+(1-EXP(-LN(2)/25))/(LN(2)/25)*Calculateur!AQ124*Calculateur!AS124*VLOOKUP('Données projet'!$B$10,Paramètres!$A$1:$I$89,3,0)*0.475*44/12</f>
        <v>9.1033576482642307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127.0016403676976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projet'!$B$11,Paramètres!$A$1:$I$89,3,0)*VLOOKUP('Données projet'!$B$11,Paramètres!$A$1:$I$89,5,0)</f>
        <v>1.3301360013429075E-13</v>
      </c>
      <c r="BF124" s="14">
        <f t="shared" si="91"/>
        <v>1.9329766731057041E-12</v>
      </c>
      <c r="BG124" s="22">
        <f t="shared" si="61"/>
        <v>3.5982663925596575E-12</v>
      </c>
      <c r="BH124" s="62">
        <f t="shared" si="62"/>
        <v>293.3333333333369</v>
      </c>
      <c r="BI124" s="62">
        <f ca="1">AVERAGE(OFFSET($BH$3,0,0,'Données projet'!$E$11+1,1))-AVERAGE(OFFSET($H$3,0,0,'Données projet'!$E$11+1,1))</f>
        <v>357.65167206083379</v>
      </c>
      <c r="BJ124" s="62">
        <f t="shared" si="92"/>
        <v>341.23389735986342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72.408416824669672</v>
      </c>
      <c r="BQ124" s="23">
        <f>EXP(-LN(2)/25)*BQ123+(1-EXP(-LN(2)/25))/(LN(2)/25)*Calculateur!BL124*Calculateur!BN124*VLOOKUP('Données projet'!$B$11,Paramètres!$A$1:$I$89,3,0)*0.475*44/12</f>
        <v>8.008831434667961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80.41724825933764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6.5</v>
      </c>
      <c r="N125" s="14">
        <f>IF('Données projet'!$A$36&gt;35,N124+M125-V124,IF(A125&lt;'Données projet'!$A$36,$K$205^A125,IF(A125='Données projet'!$A$36,'Données projet'!$B$36,N124+M125-V124)))</f>
        <v>306.5</v>
      </c>
      <c r="O125" s="14">
        <f>N125*VLOOKUP('Données projet'!$B$9,Paramètres!$A$1:$I$89,3,0)*VLOOKUP('Données projet'!$B$9,Paramètres!$A$1:$I$89,5,0)</f>
        <v>277.32119999999998</v>
      </c>
      <c r="P125" s="14">
        <f t="shared" si="87"/>
        <v>66.400585093776115</v>
      </c>
      <c r="Q125" s="22">
        <f t="shared" si="107"/>
        <v>598.64877570499334</v>
      </c>
      <c r="R125" s="62">
        <f t="shared" si="55"/>
        <v>891.9821090383266</v>
      </c>
      <c r="S125" s="62">
        <f ca="1">AVERAGE(OFFSET($R$3,0,0,'Données projet'!$E$9+1,1))-AVERAGE(OFFSET($H$3,0,0,'Données projet'!$E$9+1,1))</f>
        <v>430.41482167204606</v>
      </c>
      <c r="T125" s="62">
        <f t="shared" si="88"/>
        <v>177.02794100524551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32.041622088735998</v>
      </c>
      <c r="AA125" s="23">
        <f>EXP(-LN(2)/25)*AA124+(1-EXP(-LN(2)/25))/(LN(2)/25)*Calculateur!V125*Calculateur!X125*VLOOKUP('Données projet'!$B$9,Paramètres!$A$1:$I$89,3,0)*0.475*44/12</f>
        <v>20.591626195746048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52.63324828448205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1.2710188457276673E-13</v>
      </c>
      <c r="AK125" s="14">
        <f t="shared" si="89"/>
        <v>1.856866851063998E-12</v>
      </c>
      <c r="AL125" s="22">
        <f t="shared" si="58"/>
        <v>3.4554122145673649E-12</v>
      </c>
      <c r="AM125" s="62">
        <f t="shared" si="59"/>
        <v>293.33333333333678</v>
      </c>
      <c r="AN125" s="62">
        <f ca="1">AVERAGE(OFFSET($AM$3,0,0,'Données projet'!$E$10+1,1))-AVERAGE(OFFSET($H$3,0,0,'Données projet'!$E$10+1,1))</f>
        <v>507.43397352006832</v>
      </c>
      <c r="AO125" s="62">
        <f t="shared" si="90"/>
        <v>631.65579929520936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115.58636930615714</v>
      </c>
      <c r="AV125" s="23">
        <f>EXP(-LN(2)/25)*AV124+(1-EXP(-LN(2)/25))/(LN(2)/25)*Calculateur!AQ125*Calculateur!AS125*VLOOKUP('Données projet'!$B$10,Paramètres!$A$1:$I$89,3,0)*0.475*44/12</f>
        <v>8.8544258546476726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124.44079516080481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projet'!$B$11,Paramètres!$A$1:$I$89,3,0)*VLOOKUP('Données projet'!$B$11,Paramètres!$A$1:$I$89,5,0)</f>
        <v>1.3301360013429075E-13</v>
      </c>
      <c r="BF125" s="14">
        <f t="shared" si="91"/>
        <v>1.9329766731057041E-12</v>
      </c>
      <c r="BG125" s="22">
        <f t="shared" si="61"/>
        <v>3.5982663925596575E-12</v>
      </c>
      <c r="BH125" s="62">
        <f t="shared" si="62"/>
        <v>293.3333333333369</v>
      </c>
      <c r="BI125" s="62">
        <f ca="1">AVERAGE(OFFSET($BH$3,0,0,'Données projet'!$E$11+1,1))-AVERAGE(OFFSET($H$3,0,0,'Données projet'!$E$11+1,1))</f>
        <v>357.65167206083379</v>
      </c>
      <c r="BJ125" s="62">
        <f t="shared" si="92"/>
        <v>341.23389735986342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70.988531935511247</v>
      </c>
      <c r="BQ125" s="23">
        <f>EXP(-LN(2)/25)*BQ124+(1-EXP(-LN(2)/25))/(LN(2)/25)*Calculateur!BL125*Calculateur!BN125*VLOOKUP('Données projet'!$B$11,Paramètres!$A$1:$I$89,3,0)*0.475*44/12</f>
        <v>7.7898295179208246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78.778361453432069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6.5</v>
      </c>
      <c r="N126" s="14">
        <f>IF('Données projet'!$A$36&gt;35,N125+M126-V125,IF(A126&lt;'Données projet'!$A$36,$K$205^A126,IF(A126='Données projet'!$A$36,'Données projet'!$B$36,N125+M126-V125)))</f>
        <v>313</v>
      </c>
      <c r="O126" s="14">
        <f>N126*VLOOKUP('Données projet'!$B$9,Paramètres!$A$1:$I$89,3,0)*VLOOKUP('Données projet'!$B$9,Paramètres!$A$1:$I$89,5,0)</f>
        <v>283.20240000000001</v>
      </c>
      <c r="P126" s="14">
        <f t="shared" si="87"/>
        <v>67.643319485855841</v>
      </c>
      <c r="Q126" s="22">
        <f t="shared" si="107"/>
        <v>611.05629477119896</v>
      </c>
      <c r="R126" s="62">
        <f t="shared" si="55"/>
        <v>904.38962810453222</v>
      </c>
      <c r="S126" s="62">
        <f ca="1">AVERAGE(OFFSET($R$3,0,0,'Données projet'!$E$9+1,1))-AVERAGE(OFFSET($H$3,0,0,'Données projet'!$E$9+1,1))</f>
        <v>430.41482167204606</v>
      </c>
      <c r="T126" s="62">
        <f t="shared" si="88"/>
        <v>177.02794100524551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31.413305423035602</v>
      </c>
      <c r="AA126" s="23">
        <f>EXP(-LN(2)/25)*AA125+(1-EXP(-LN(2)/25))/(LN(2)/25)*Calculateur!V126*Calculateur!X126*VLOOKUP('Données projet'!$B$9,Paramètres!$A$1:$I$89,3,0)*0.475*44/12</f>
        <v>20.028547094556814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51.441852517592416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1.2710188457276673E-13</v>
      </c>
      <c r="AK126" s="14">
        <f t="shared" si="89"/>
        <v>1.856866851063998E-12</v>
      </c>
      <c r="AL126" s="22">
        <f t="shared" si="58"/>
        <v>3.4554122145673649E-12</v>
      </c>
      <c r="AM126" s="62">
        <f t="shared" si="59"/>
        <v>293.33333333333678</v>
      </c>
      <c r="AN126" s="62">
        <f ca="1">AVERAGE(OFFSET($AM$3,0,0,'Données projet'!$E$10+1,1))-AVERAGE(OFFSET($H$3,0,0,'Données projet'!$E$10+1,1))</f>
        <v>507.43397352006832</v>
      </c>
      <c r="AO126" s="62">
        <f t="shared" si="90"/>
        <v>631.65579929520936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113.3197911047873</v>
      </c>
      <c r="AV126" s="23">
        <f>EXP(-LN(2)/25)*AV125+(1-EXP(-LN(2)/25))/(LN(2)/25)*Calculateur!AQ126*Calculateur!AS126*VLOOKUP('Données projet'!$B$10,Paramètres!$A$1:$I$89,3,0)*0.475*44/12</f>
        <v>8.6123011140183134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121.93209221880561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projet'!$B$11,Paramètres!$A$1:$I$89,3,0)*VLOOKUP('Données projet'!$B$11,Paramètres!$A$1:$I$89,5,0)</f>
        <v>1.3301360013429075E-13</v>
      </c>
      <c r="BF126" s="14">
        <f t="shared" si="91"/>
        <v>1.9329766731057041E-12</v>
      </c>
      <c r="BG126" s="22">
        <f t="shared" si="61"/>
        <v>3.5982663925596575E-12</v>
      </c>
      <c r="BH126" s="62">
        <f t="shared" si="62"/>
        <v>293.3333333333369</v>
      </c>
      <c r="BI126" s="62">
        <f ca="1">AVERAGE(OFFSET($BH$3,0,0,'Données projet'!$E$11+1,1))-AVERAGE(OFFSET($H$3,0,0,'Données projet'!$E$11+1,1))</f>
        <v>357.65167206083379</v>
      </c>
      <c r="BJ126" s="62">
        <f t="shared" si="92"/>
        <v>341.23389735986342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69.59649012298496</v>
      </c>
      <c r="BQ126" s="23">
        <f>EXP(-LN(2)/25)*BQ125+(1-EXP(-LN(2)/25))/(LN(2)/25)*Calculateur!BL126*Calculateur!BN126*VLOOKUP('Données projet'!$B$11,Paramètres!$A$1:$I$89,3,0)*0.475*44/12</f>
        <v>7.5768162201039493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77.17330634308891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6.5</v>
      </c>
      <c r="N127" s="14">
        <f>IF('Données projet'!$A$36&gt;35,N126+M127-V126,IF(A127&lt;'Données projet'!$A$36,$K$205^A127,IF(A127='Données projet'!$A$36,'Données projet'!$B$36,N126+M127-V126)))</f>
        <v>319.5</v>
      </c>
      <c r="O127" s="14">
        <f>N127*VLOOKUP('Données projet'!$B$9,Paramètres!$A$1:$I$89,3,0)*VLOOKUP('Données projet'!$B$9,Paramètres!$A$1:$I$89,5,0)</f>
        <v>289.08359999999999</v>
      </c>
      <c r="P127" s="14">
        <f t="shared" si="87"/>
        <v>68.883053275068164</v>
      </c>
      <c r="Q127" s="22">
        <f t="shared" si="107"/>
        <v>623.45858778741035</v>
      </c>
      <c r="R127" s="62">
        <f t="shared" si="55"/>
        <v>916.79192112074361</v>
      </c>
      <c r="S127" s="62">
        <f ca="1">AVERAGE(OFFSET($R$3,0,0,'Données projet'!$E$9+1,1))-AVERAGE(OFFSET($H$3,0,0,'Données projet'!$E$9+1,1))</f>
        <v>430.41482167204606</v>
      </c>
      <c r="T127" s="62">
        <f t="shared" si="88"/>
        <v>177.02794100524551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30.797309663914266</v>
      </c>
      <c r="AA127" s="23">
        <f>EXP(-LN(2)/25)*AA126+(1-EXP(-LN(2)/25))/(LN(2)/25)*Calculateur!V127*Calculateur!X127*VLOOKUP('Données projet'!$B$9,Paramètres!$A$1:$I$89,3,0)*0.475*44/12</f>
        <v>19.48086542100064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50.278175084914906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1.2710188457276673E-13</v>
      </c>
      <c r="AK127" s="14">
        <f t="shared" si="89"/>
        <v>1.856866851063998E-12</v>
      </c>
      <c r="AL127" s="22">
        <f t="shared" si="58"/>
        <v>3.4554122145673649E-12</v>
      </c>
      <c r="AM127" s="62">
        <f t="shared" si="59"/>
        <v>293.33333333333678</v>
      </c>
      <c r="AN127" s="62">
        <f ca="1">AVERAGE(OFFSET($AM$3,0,0,'Données projet'!$E$10+1,1))-AVERAGE(OFFSET($H$3,0,0,'Données projet'!$E$10+1,1))</f>
        <v>507.43397352006832</v>
      </c>
      <c r="AO127" s="62">
        <f t="shared" si="90"/>
        <v>631.65579929520936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111.09765911947014</v>
      </c>
      <c r="AV127" s="23">
        <f>EXP(-LN(2)/25)*AV126+(1-EXP(-LN(2)/25))/(LN(2)/25)*Calculateur!AQ127*Calculateur!AS127*VLOOKUP('Données projet'!$B$10,Paramètres!$A$1:$I$89,3,0)*0.475*44/12</f>
        <v>8.3767972871542504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119.47445640662438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projet'!$B$11,Paramètres!$A$1:$I$89,3,0)*VLOOKUP('Données projet'!$B$11,Paramètres!$A$1:$I$89,5,0)</f>
        <v>1.3301360013429075E-13</v>
      </c>
      <c r="BF127" s="14">
        <f t="shared" si="91"/>
        <v>1.9329766731057041E-12</v>
      </c>
      <c r="BG127" s="22">
        <f t="shared" si="61"/>
        <v>3.5982663925596575E-12</v>
      </c>
      <c r="BH127" s="62">
        <f t="shared" si="62"/>
        <v>293.3333333333369</v>
      </c>
      <c r="BI127" s="62">
        <f ca="1">AVERAGE(OFFSET($BH$3,0,0,'Données projet'!$E$11+1,1))-AVERAGE(OFFSET($H$3,0,0,'Données projet'!$E$11+1,1))</f>
        <v>357.65167206083379</v>
      </c>
      <c r="BJ127" s="62">
        <f t="shared" si="92"/>
        <v>341.23389735986342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68.231745401340646</v>
      </c>
      <c r="BQ127" s="23">
        <f>EXP(-LN(2)/25)*BQ126+(1-EXP(-LN(2)/25))/(LN(2)/25)*Calculateur!BL127*Calculateur!BN127*VLOOKUP('Données projet'!$B$11,Paramètres!$A$1:$I$89,3,0)*0.475*44/12</f>
        <v>7.3696277821177585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75.601373183458406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326</v>
      </c>
      <c r="L128" s="13">
        <f>VLOOKUP(A128,'Données projet'!$A$35:$I$55,9,0)</f>
        <v>6.5</v>
      </c>
      <c r="M128" s="13">
        <f t="array" ref="M128">INDEX(L:L,MIN(IF(ISNUMBER(L128:L324),ROW(L128:L324),"")))</f>
        <v>6.5</v>
      </c>
      <c r="N128" s="14">
        <f>IF('Données projet'!$A$36&gt;35,N127+M128-V127,IF(A128&lt;'Données projet'!$A$36,$K$205^A128,IF(A128='Données projet'!$A$36,'Données projet'!$B$36,N127+M128-V127)))</f>
        <v>326</v>
      </c>
      <c r="O128" s="14">
        <f>N128*VLOOKUP('Données projet'!$B$9,Paramètres!$A$1:$I$89,3,0)*VLOOKUP('Données projet'!$B$9,Paramètres!$A$1:$I$89,5,0)</f>
        <v>294.96479999999997</v>
      </c>
      <c r="P128" s="14">
        <f t="shared" si="87"/>
        <v>70.119854541045001</v>
      </c>
      <c r="Q128" s="22">
        <f t="shared" si="107"/>
        <v>635.85577332565333</v>
      </c>
      <c r="R128" s="62">
        <f t="shared" si="55"/>
        <v>929.1891066589867</v>
      </c>
      <c r="S128" s="62">
        <f ca="1">AVERAGE(OFFSET($R$3,0,0,'Données projet'!$E$9+1,1))-AVERAGE(OFFSET($H$3,0,0,'Données projet'!$E$9+1,1))</f>
        <v>430.41482167204606</v>
      </c>
      <c r="T128" s="62">
        <f t="shared" si="88"/>
        <v>177.02794100524551</v>
      </c>
      <c r="U128" s="16">
        <f>IF(ISNA(VLOOKUP(A128,'Données projet'!$A$35:$I$55,3,0)),0,VLOOKUP(A128,'Données projet'!$A$35:$I$55,3,0))</f>
        <v>10</v>
      </c>
      <c r="V128" s="16">
        <f>IF(ISNA(VLOOKUP(A128,'Données projet'!$A$35:$I$55,4,0)),0,VLOOKUP(A128,'Données projet'!$A$35:$I$55,4,0))</f>
        <v>47</v>
      </c>
      <c r="W128" s="17">
        <f>IF(ISNA(VLOOKUP(A128,'Données projet'!$A$35:$I$55,5,0)),0%,VLOOKUP(A128,'Données projet'!$A$35:$I$55,5,0)*VLOOKUP('Données projet'!$B$9,Paramètres!$A$1:$I$89,7,0))</f>
        <v>0.215</v>
      </c>
      <c r="X128" s="17">
        <f>IF(ISNA(VLOOKUP(A128,'Données projet'!$A$35:$I$55,6,0)),0%,VLOOKUP(A128,'Données projet'!$A$35:$I$55,6,0)*VLOOKUP('Données projet'!$B$9,Paramètres!$A$1:$I$89,7,0))</f>
        <v>0.17200000000000001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40.300713307860264</v>
      </c>
      <c r="AA128" s="23">
        <f>EXP(-LN(2)/25)*AA127+(1-EXP(-LN(2)/25))/(LN(2)/25)*Calculateur!V128*Calculateur!X128*VLOOKUP('Données projet'!$B$9,Paramètres!$A$1:$I$89,3,0)*0.475*44/12</f>
        <v>27.002179116824401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67.302892424684671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1.2710188457276673E-13</v>
      </c>
      <c r="AK128" s="14">
        <f t="shared" si="89"/>
        <v>1.856866851063998E-12</v>
      </c>
      <c r="AL128" s="22">
        <f t="shared" si="58"/>
        <v>3.4554122145673649E-12</v>
      </c>
      <c r="AM128" s="62">
        <f t="shared" si="59"/>
        <v>293.33333333333678</v>
      </c>
      <c r="AN128" s="62">
        <f ca="1">AVERAGE(OFFSET($AM$3,0,0,'Données projet'!$E$10+1,1))-AVERAGE(OFFSET($H$3,0,0,'Données projet'!$E$10+1,1))</f>
        <v>507.43397352006832</v>
      </c>
      <c r="AO128" s="62">
        <f t="shared" si="90"/>
        <v>631.65579929520936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108.91910178701836</v>
      </c>
      <c r="AV128" s="23">
        <f>EXP(-LN(2)/25)*AV127+(1-EXP(-LN(2)/25))/(LN(2)/25)*Calculateur!AQ128*Calculateur!AS128*VLOOKUP('Données projet'!$B$10,Paramètres!$A$1:$I$89,3,0)*0.475*44/12</f>
        <v>8.1477333248203934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117.06683511183876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projet'!$B$11,Paramètres!$A$1:$I$89,3,0)*VLOOKUP('Données projet'!$B$11,Paramètres!$A$1:$I$89,5,0)</f>
        <v>1.3301360013429075E-13</v>
      </c>
      <c r="BF128" s="14">
        <f t="shared" si="91"/>
        <v>1.9329766731057041E-12</v>
      </c>
      <c r="BG128" s="22">
        <f t="shared" si="61"/>
        <v>3.5982663925596575E-12</v>
      </c>
      <c r="BH128" s="62">
        <f t="shared" si="62"/>
        <v>293.3333333333369</v>
      </c>
      <c r="BI128" s="62">
        <f ca="1">AVERAGE(OFFSET($BH$3,0,0,'Données projet'!$E$11+1,1))-AVERAGE(OFFSET($H$3,0,0,'Données projet'!$E$11+1,1))</f>
        <v>357.65167206083379</v>
      </c>
      <c r="BJ128" s="62">
        <f t="shared" si="92"/>
        <v>341.23389735986342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66.893762491275695</v>
      </c>
      <c r="BQ128" s="23">
        <f>EXP(-LN(2)/25)*BQ127+(1-EXP(-LN(2)/25))/(LN(2)/25)*Calculateur!BL128*Calculateur!BN128*VLOOKUP('Données projet'!$B$11,Paramètres!$A$1:$I$89,3,0)*0.475*44/12</f>
        <v>7.1681049228638667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74.061867414139556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6.4</v>
      </c>
      <c r="N129" s="14">
        <f>IF('Données projet'!$A$36&gt;35,N128+M129-V128,IF(A129&lt;'Données projet'!$A$36,$K$205^A129,IF(A129='Données projet'!$A$36,'Données projet'!$B$36,N128+M129-V128)))</f>
        <v>285.39999999999998</v>
      </c>
      <c r="O129" s="14">
        <f>N129*VLOOKUP('Données projet'!$B$9,Paramètres!$A$1:$I$89,3,0)*VLOOKUP('Données projet'!$B$9,Paramètres!$A$1:$I$89,5,0)</f>
        <v>258.22991999999999</v>
      </c>
      <c r="P129" s="14">
        <f t="shared" si="87"/>
        <v>62.344918550897063</v>
      </c>
      <c r="Q129" s="22">
        <f t="shared" si="107"/>
        <v>558.33451047614574</v>
      </c>
      <c r="R129" s="62">
        <f t="shared" si="55"/>
        <v>851.66784380947911</v>
      </c>
      <c r="S129" s="62">
        <f ca="1">AVERAGE(OFFSET($R$3,0,0,'Données projet'!$E$9+1,1))-AVERAGE(OFFSET($H$3,0,0,'Données projet'!$E$9+1,1))</f>
        <v>430.41482167204606</v>
      </c>
      <c r="T129" s="62">
        <f t="shared" si="88"/>
        <v>177.02794100524551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39.510440900901067</v>
      </c>
      <c r="AA129" s="23">
        <f>EXP(-LN(2)/25)*AA128+(1-EXP(-LN(2)/25))/(LN(2)/25)*Calculateur!V129*Calculateur!X129*VLOOKUP('Données projet'!$B$9,Paramètres!$A$1:$I$89,3,0)*0.475*44/12</f>
        <v>26.263803108891953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65.774244009793023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1.2710188457276673E-13</v>
      </c>
      <c r="AK129" s="14">
        <f t="shared" si="89"/>
        <v>1.856866851063998E-12</v>
      </c>
      <c r="AL129" s="22">
        <f t="shared" si="58"/>
        <v>3.4554122145673649E-12</v>
      </c>
      <c r="AM129" s="62">
        <f t="shared" si="59"/>
        <v>293.33333333333678</v>
      </c>
      <c r="AN129" s="62">
        <f ca="1">AVERAGE(OFFSET($AM$3,0,0,'Données projet'!$E$10+1,1))-AVERAGE(OFFSET($H$3,0,0,'Données projet'!$E$10+1,1))</f>
        <v>507.43397352006832</v>
      </c>
      <c r="AO129" s="62">
        <f t="shared" si="90"/>
        <v>631.65579929520936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106.7832646350672</v>
      </c>
      <c r="AV129" s="23">
        <f>EXP(-LN(2)/25)*AV128+(1-EXP(-LN(2)/25))/(LN(2)/25)*Calculateur!AQ129*Calculateur!AS129*VLOOKUP('Données projet'!$B$10,Paramètres!$A$1:$I$89,3,0)*0.475*44/12</f>
        <v>7.9249331285825058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114.70819776364971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projet'!$B$11,Paramètres!$A$1:$I$89,3,0)*VLOOKUP('Données projet'!$B$11,Paramètres!$A$1:$I$89,5,0)</f>
        <v>1.3301360013429075E-13</v>
      </c>
      <c r="BF129" s="14">
        <f t="shared" si="91"/>
        <v>1.9329766731057041E-12</v>
      </c>
      <c r="BG129" s="22">
        <f t="shared" si="61"/>
        <v>3.5982663925596575E-12</v>
      </c>
      <c r="BH129" s="62">
        <f t="shared" si="62"/>
        <v>293.3333333333369</v>
      </c>
      <c r="BI129" s="62">
        <f ca="1">AVERAGE(OFFSET($BH$3,0,0,'Données projet'!$E$11+1,1))-AVERAGE(OFFSET($H$3,0,0,'Données projet'!$E$11+1,1))</f>
        <v>357.65167206083379</v>
      </c>
      <c r="BJ129" s="62">
        <f t="shared" si="92"/>
        <v>341.23389735986342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65.582016609988116</v>
      </c>
      <c r="BQ129" s="23">
        <f>EXP(-LN(2)/25)*BQ128+(1-EXP(-LN(2)/25))/(LN(2)/25)*Calculateur!BL129*Calculateur!BN129*VLOOKUP('Données projet'!$B$11,Paramètres!$A$1:$I$89,3,0)*0.475*44/12</f>
        <v>6.9720927167938989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72.554109326782012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6.4</v>
      </c>
      <c r="N130" s="14">
        <f>IF('Données projet'!$A$36&gt;35,N129+M130-V129,IF(A130&lt;'Données projet'!$A$36,$K$205^A130,IF(A130='Données projet'!$A$36,'Données projet'!$B$36,N129+M130-V129)))</f>
        <v>291.79999999999995</v>
      </c>
      <c r="O130" s="14">
        <f>N130*VLOOKUP('Données projet'!$B$9,Paramètres!$A$1:$I$89,3,0)*VLOOKUP('Données projet'!$B$9,Paramètres!$A$1:$I$89,5,0)</f>
        <v>264.02063999999996</v>
      </c>
      <c r="P130" s="14">
        <f t="shared" si="87"/>
        <v>63.578648990959174</v>
      </c>
      <c r="Q130" s="22">
        <f t="shared" si="107"/>
        <v>570.56876165925371</v>
      </c>
      <c r="R130" s="62">
        <f t="shared" si="55"/>
        <v>863.90209499258708</v>
      </c>
      <c r="S130" s="62">
        <f ca="1">AVERAGE(OFFSET($R$3,0,0,'Données projet'!$E$9+1,1))-AVERAGE(OFFSET($H$3,0,0,'Données projet'!$E$9+1,1))</f>
        <v>430.41482167204606</v>
      </c>
      <c r="T130" s="62">
        <f t="shared" si="88"/>
        <v>177.02794100524551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38.735665253823768</v>
      </c>
      <c r="AA130" s="23">
        <f>EXP(-LN(2)/25)*AA129+(1-EXP(-LN(2)/25))/(LN(2)/25)*Calculateur!V130*Calculateur!X130*VLOOKUP('Données projet'!$B$9,Paramètres!$A$1:$I$89,3,0)*0.475*44/12</f>
        <v>25.545618031725922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64.281283285549691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1.2710188457276673E-13</v>
      </c>
      <c r="AK130" s="14">
        <f t="shared" si="89"/>
        <v>1.856866851063998E-12</v>
      </c>
      <c r="AL130" s="22">
        <f t="shared" si="58"/>
        <v>3.4554122145673649E-12</v>
      </c>
      <c r="AM130" s="62">
        <f t="shared" si="59"/>
        <v>293.33333333333678</v>
      </c>
      <c r="AN130" s="62">
        <f ca="1">AVERAGE(OFFSET($AM$3,0,0,'Données projet'!$E$10+1,1))-AVERAGE(OFFSET($H$3,0,0,'Données projet'!$E$10+1,1))</f>
        <v>507.43397352006832</v>
      </c>
      <c r="AO130" s="62">
        <f t="shared" si="90"/>
        <v>631.65579929520936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104.68930994693378</v>
      </c>
      <c r="AV130" s="23">
        <f>EXP(-LN(2)/25)*AV129+(1-EXP(-LN(2)/25))/(LN(2)/25)*Calculateur!AQ130*Calculateur!AS130*VLOOKUP('Données projet'!$B$10,Paramètres!$A$1:$I$89,3,0)*0.475*44/12</f>
        <v>7.7082254154272967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112.39753536236107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projet'!$B$11,Paramètres!$A$1:$I$89,3,0)*VLOOKUP('Données projet'!$B$11,Paramètres!$A$1:$I$89,5,0)</f>
        <v>1.3301360013429075E-13</v>
      </c>
      <c r="BF130" s="14">
        <f t="shared" si="91"/>
        <v>1.9329766731057041E-12</v>
      </c>
      <c r="BG130" s="22">
        <f t="shared" si="61"/>
        <v>3.5982663925596575E-12</v>
      </c>
      <c r="BH130" s="62">
        <f t="shared" si="62"/>
        <v>293.3333333333369</v>
      </c>
      <c r="BI130" s="62">
        <f ca="1">AVERAGE(OFFSET($BH$3,0,0,'Données projet'!$E$11+1,1))-AVERAGE(OFFSET($H$3,0,0,'Données projet'!$E$11+1,1))</f>
        <v>357.65167206083379</v>
      </c>
      <c r="BJ130" s="62">
        <f t="shared" si="92"/>
        <v>341.23389735986342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64.29599326534661</v>
      </c>
      <c r="BQ130" s="23">
        <f>EXP(-LN(2)/25)*BQ129+(1-EXP(-LN(2)/25))/(LN(2)/25)*Calculateur!BL130*Calculateur!BN130*VLOOKUP('Données projet'!$B$11,Paramètres!$A$1:$I$89,3,0)*0.475*44/12</f>
        <v>6.7814404748067485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71.077433740153353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6.4</v>
      </c>
      <c r="N131" s="14">
        <f>IF('Données projet'!$A$36&gt;35,N130+M131-V130,IF(A131&lt;'Données projet'!$A$36,$K$205^A131,IF(A131='Données projet'!$A$36,'Données projet'!$B$36,N130+M131-V130)))</f>
        <v>298.19999999999993</v>
      </c>
      <c r="O131" s="14">
        <f>N131*VLOOKUP('Données projet'!$B$9,Paramètres!$A$1:$I$89,3,0)*VLOOKUP('Données projet'!$B$9,Paramètres!$A$1:$I$89,5,0)</f>
        <v>269.81135999999992</v>
      </c>
      <c r="P131" s="14">
        <f t="shared" si="87"/>
        <v>64.809233490575778</v>
      </c>
      <c r="Q131" s="22">
        <f t="shared" ref="Q131:Q153" si="108">(O131+P131)*0.475*44/12</f>
        <v>582.79753366275258</v>
      </c>
      <c r="R131" s="62">
        <f t="shared" ref="R131:R194" si="109">Q131+(I131+J131)*44/12</f>
        <v>876.13086699608584</v>
      </c>
      <c r="S131" s="62">
        <f ca="1">AVERAGE(OFFSET($R$3,0,0,'Données projet'!$E$9+1,1))-AVERAGE(OFFSET($H$3,0,0,'Données projet'!$E$9+1,1))</f>
        <v>430.41482167204606</v>
      </c>
      <c r="T131" s="62">
        <f t="shared" si="88"/>
        <v>177.02794100524551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37.976082484619177</v>
      </c>
      <c r="AA131" s="23">
        <f>EXP(-LN(2)/25)*AA130+(1-EXP(-LN(2)/25))/(LN(2)/25)*Calculateur!V131*Calculateur!X131*VLOOKUP('Données projet'!$B$9,Paramètres!$A$1:$I$89,3,0)*0.475*44/12</f>
        <v>24.847071763262711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62.823154247881888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1.2710188457276673E-13</v>
      </c>
      <c r="AK131" s="14">
        <f t="shared" si="89"/>
        <v>1.856866851063998E-12</v>
      </c>
      <c r="AL131" s="22">
        <f t="shared" si="58"/>
        <v>3.4554122145673649E-12</v>
      </c>
      <c r="AM131" s="62">
        <f t="shared" si="59"/>
        <v>293.33333333333678</v>
      </c>
      <c r="AN131" s="62">
        <f ca="1">AVERAGE(OFFSET($AM$3,0,0,'Données projet'!$E$10+1,1))-AVERAGE(OFFSET($H$3,0,0,'Données projet'!$E$10+1,1))</f>
        <v>507.43397352006832</v>
      </c>
      <c r="AO131" s="62">
        <f t="shared" si="90"/>
        <v>631.65579929520936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102.6364164330484</v>
      </c>
      <c r="AV131" s="23">
        <f>EXP(-LN(2)/25)*AV130+(1-EXP(-LN(2)/25))/(LN(2)/25)*Calculateur!AQ131*Calculateur!AS131*VLOOKUP('Données projet'!$B$10,Paramètres!$A$1:$I$89,3,0)*0.475*44/12</f>
        <v>7.4974435860844801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110.13386001913288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projet'!$B$11,Paramètres!$A$1:$I$89,3,0)*VLOOKUP('Données projet'!$B$11,Paramètres!$A$1:$I$89,5,0)</f>
        <v>1.3301360013429075E-13</v>
      </c>
      <c r="BF131" s="14">
        <f t="shared" si="91"/>
        <v>1.9329766731057041E-12</v>
      </c>
      <c r="BG131" s="22">
        <f t="shared" si="61"/>
        <v>3.5982663925596575E-12</v>
      </c>
      <c r="BH131" s="62">
        <f t="shared" si="62"/>
        <v>293.3333333333369</v>
      </c>
      <c r="BI131" s="62">
        <f ca="1">AVERAGE(OFFSET($BH$3,0,0,'Données projet'!$E$11+1,1))-AVERAGE(OFFSET($H$3,0,0,'Données projet'!$E$11+1,1))</f>
        <v>357.65167206083379</v>
      </c>
      <c r="BJ131" s="62">
        <f t="shared" si="92"/>
        <v>341.23389735986342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63.035188054096729</v>
      </c>
      <c r="BQ131" s="23">
        <f>EXP(-LN(2)/25)*BQ130+(1-EXP(-LN(2)/25))/(LN(2)/25)*Calculateur!BL131*Calculateur!BN131*VLOOKUP('Données projet'!$B$11,Paramètres!$A$1:$I$89,3,0)*0.475*44/12</f>
        <v>6.5960016284027025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69.631189682499425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6.4</v>
      </c>
      <c r="N132" s="14">
        <f>IF('Données projet'!$A$36&gt;35,N131+M132-V131,IF(A132&lt;'Données projet'!$A$36,$K$205^A132,IF(A132='Données projet'!$A$36,'Données projet'!$B$36,N131+M132-V131)))</f>
        <v>304.59999999999991</v>
      </c>
      <c r="O132" s="14">
        <f>N132*VLOOKUP('Données projet'!$B$9,Paramètres!$A$1:$I$89,3,0)*VLOOKUP('Données projet'!$B$9,Paramètres!$A$1:$I$89,5,0)</f>
        <v>275.60207999999989</v>
      </c>
      <c r="P132" s="14">
        <f t="shared" si="87"/>
        <v>66.036747345007313</v>
      </c>
      <c r="Q132" s="22">
        <f t="shared" si="108"/>
        <v>595.02095762588749</v>
      </c>
      <c r="R132" s="62">
        <f t="shared" si="109"/>
        <v>888.35429095922086</v>
      </c>
      <c r="S132" s="62">
        <f ca="1">AVERAGE(OFFSET($R$3,0,0,'Données projet'!$E$9+1,1))-AVERAGE(OFFSET($H$3,0,0,'Données projet'!$E$9+1,1))</f>
        <v>430.41482167204606</v>
      </c>
      <c r="T132" s="62">
        <f t="shared" si="88"/>
        <v>177.02794100524551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37.23139467021894</v>
      </c>
      <c r="AA132" s="23">
        <f>EXP(-LN(2)/25)*AA131+(1-EXP(-LN(2)/25))/(LN(2)/25)*Calculateur!V132*Calculateur!X132*VLOOKUP('Données projet'!$B$9,Paramètres!$A$1:$I$89,3,0)*0.475*44/12</f>
        <v>24.167627279245576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61.399021949464512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1.2710188457276673E-13</v>
      </c>
      <c r="AK132" s="14">
        <f t="shared" si="89"/>
        <v>1.856866851063998E-12</v>
      </c>
      <c r="AL132" s="22">
        <f t="shared" ref="AL132:AL153" si="112">(AJ132+AK132)*0.475*44/12</f>
        <v>3.4554122145673649E-12</v>
      </c>
      <c r="AM132" s="62">
        <f t="shared" ref="AM132:AM195" si="113">AL132+(AD132+AE132)*44/12</f>
        <v>293.33333333333678</v>
      </c>
      <c r="AN132" s="62">
        <f ca="1">AVERAGE(OFFSET($AM$3,0,0,'Données projet'!$E$10+1,1))-AVERAGE(OFFSET($H$3,0,0,'Données projet'!$E$10+1,1))</f>
        <v>507.43397352006832</v>
      </c>
      <c r="AO132" s="62">
        <f t="shared" si="90"/>
        <v>631.65579929520936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100.62377890882891</v>
      </c>
      <c r="AV132" s="23">
        <f>EXP(-LN(2)/25)*AV131+(1-EXP(-LN(2)/25))/(LN(2)/25)*Calculateur!AQ132*Calculateur!AS132*VLOOKUP('Données projet'!$B$10,Paramètres!$A$1:$I$89,3,0)*0.475*44/12</f>
        <v>7.2924255969495775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107.9162045057785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projet'!$B$11,Paramètres!$A$1:$I$89,3,0)*VLOOKUP('Données projet'!$B$11,Paramètres!$A$1:$I$89,5,0)</f>
        <v>1.3301360013429075E-13</v>
      </c>
      <c r="BF132" s="14">
        <f t="shared" si="91"/>
        <v>1.9329766731057041E-12</v>
      </c>
      <c r="BG132" s="22">
        <f t="shared" ref="BG132:BG153" si="115">(BE132+BF132)*0.475*44/12</f>
        <v>3.5982663925596575E-12</v>
      </c>
      <c r="BH132" s="62">
        <f t="shared" ref="BH132:BH195" si="116">BG132+(AY132+AZ132)*44/12</f>
        <v>293.3333333333369</v>
      </c>
      <c r="BI132" s="62">
        <f ca="1">AVERAGE(OFFSET($BH$3,0,0,'Données projet'!$E$11+1,1))-AVERAGE(OFFSET($H$3,0,0,'Données projet'!$E$11+1,1))</f>
        <v>357.65167206083379</v>
      </c>
      <c r="BJ132" s="62">
        <f t="shared" si="92"/>
        <v>341.23389735986342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61.799106464024213</v>
      </c>
      <c r="BQ132" s="23">
        <f>EXP(-LN(2)/25)*BQ131+(1-EXP(-LN(2)/25))/(LN(2)/25)*Calculateur!BL132*Calculateur!BN132*VLOOKUP('Données projet'!$B$11,Paramètres!$A$1:$I$89,3,0)*0.475*44/12</f>
        <v>6.4156336170053807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68.214740081029589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6.4</v>
      </c>
      <c r="N133" s="14">
        <f>IF('Données projet'!$A$36&gt;35,N132+M133-V132,IF(A133&lt;'Données projet'!$A$36,$K$205^A133,IF(A133='Données projet'!$A$36,'Données projet'!$B$36,N132+M133-V132)))</f>
        <v>310.99999999999989</v>
      </c>
      <c r="O133" s="14">
        <f>N133*VLOOKUP('Données projet'!$B$9,Paramètres!$A$1:$I$89,3,0)*VLOOKUP('Données projet'!$B$9,Paramètres!$A$1:$I$89,5,0)</f>
        <v>281.39279999999985</v>
      </c>
      <c r="P133" s="14">
        <f t="shared" ref="P133:P196" si="141">EXP(-1.0587+0.8836*LN(O133)+0.284)</f>
        <v>67.261262504634658</v>
      </c>
      <c r="Q133" s="22">
        <f t="shared" si="108"/>
        <v>607.23915886223847</v>
      </c>
      <c r="R133" s="62">
        <f t="shared" si="109"/>
        <v>900.57249219557184</v>
      </c>
      <c r="S133" s="62">
        <f ca="1">AVERAGE(OFFSET($R$3,0,0,'Données projet'!$E$9+1,1))-AVERAGE(OFFSET($H$3,0,0,'Données projet'!$E$9+1,1))</f>
        <v>430.41482167204606</v>
      </c>
      <c r="T133" s="62">
        <f t="shared" ref="T133:T196" si="142">$T$3</f>
        <v>177.02794100524551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36.501309729644376</v>
      </c>
      <c r="AA133" s="23">
        <f>EXP(-LN(2)/25)*AA132+(1-EXP(-LN(2)/25))/(LN(2)/25)*Calculateur!V133*Calculateur!X133*VLOOKUP('Données projet'!$B$9,Paramètres!$A$1:$I$89,3,0)*0.475*44/12</f>
        <v>23.506762240374321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60.008071970018698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1.2710188457276673E-13</v>
      </c>
      <c r="AK133" s="14">
        <f t="shared" ref="AK133:AK153" si="143">EXP(-1.0587+0.8836*LN(AJ133)+0.284)</f>
        <v>1.856866851063998E-12</v>
      </c>
      <c r="AL133" s="22">
        <f t="shared" si="112"/>
        <v>3.4554122145673649E-12</v>
      </c>
      <c r="AM133" s="62">
        <f t="shared" si="113"/>
        <v>293.33333333333678</v>
      </c>
      <c r="AN133" s="62">
        <f ca="1">AVERAGE(OFFSET($AM$3,0,0,'Données projet'!$E$10+1,1))-AVERAGE(OFFSET($H$3,0,0,'Données projet'!$E$10+1,1))</f>
        <v>507.43397352006832</v>
      </c>
      <c r="AO133" s="62">
        <f t="shared" ref="AO133:AO196" si="144">$AO$3</f>
        <v>631.65579929520936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98.65060797887169</v>
      </c>
      <c r="AV133" s="23">
        <f>EXP(-LN(2)/25)*AV132+(1-EXP(-LN(2)/25))/(LN(2)/25)*Calculateur!AQ133*Calculateur!AS133*VLOOKUP('Données projet'!$B$10,Paramètres!$A$1:$I$89,3,0)*0.475*44/12</f>
        <v>7.0930138355089962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105.74362181438069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projet'!$B$11,Paramètres!$A$1:$I$89,3,0)*VLOOKUP('Données projet'!$B$11,Paramètres!$A$1:$I$89,5,0)</f>
        <v>1.3301360013429075E-13</v>
      </c>
      <c r="BF133" s="14">
        <f t="shared" ref="BF133:BF153" si="145">EXP(-1.0587+0.8836*LN(BE133)+0.284)</f>
        <v>1.9329766731057041E-12</v>
      </c>
      <c r="BG133" s="22">
        <f t="shared" si="115"/>
        <v>3.5982663925596575E-12</v>
      </c>
      <c r="BH133" s="62">
        <f t="shared" si="116"/>
        <v>293.3333333333369</v>
      </c>
      <c r="BI133" s="62">
        <f ca="1">AVERAGE(OFFSET($BH$3,0,0,'Données projet'!$E$11+1,1))-AVERAGE(OFFSET($H$3,0,0,'Données projet'!$E$11+1,1))</f>
        <v>357.65167206083379</v>
      </c>
      <c r="BJ133" s="62">
        <f t="shared" ref="BJ133:BJ196" si="146">$BJ$3</f>
        <v>341.23389735986342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60.587263679997697</v>
      </c>
      <c r="BQ133" s="23">
        <f>EXP(-LN(2)/25)*BQ132+(1-EXP(-LN(2)/25))/(LN(2)/25)*Calculateur!BL133*Calculateur!BN133*VLOOKUP('Données projet'!$B$11,Paramètres!$A$1:$I$89,3,0)*0.475*44/12</f>
        <v>6.2401977783648599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66.827461458362563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6.4</v>
      </c>
      <c r="N134" s="14">
        <f>IF('Données projet'!$A$36&gt;35,N133+M134-V133,IF(A134&lt;'Données projet'!$A$36,$K$205^A134,IF(A134='Données projet'!$A$36,'Données projet'!$B$36,N133+M134-V133)))</f>
        <v>317.39999999999986</v>
      </c>
      <c r="O134" s="14">
        <f>N134*VLOOKUP('Données projet'!$B$9,Paramètres!$A$1:$I$89,3,0)*VLOOKUP('Données projet'!$B$9,Paramètres!$A$1:$I$89,5,0)</f>
        <v>287.18351999999987</v>
      </c>
      <c r="P134" s="14">
        <f t="shared" si="141"/>
        <v>68.482847789276349</v>
      </c>
      <c r="Q134" s="22">
        <f t="shared" si="108"/>
        <v>619.45225723298938</v>
      </c>
      <c r="R134" s="62">
        <f t="shared" si="109"/>
        <v>912.78559056632275</v>
      </c>
      <c r="S134" s="62">
        <f ca="1">AVERAGE(OFFSET($R$3,0,0,'Données projet'!$E$9+1,1))-AVERAGE(OFFSET($H$3,0,0,'Données projet'!$E$9+1,1))</f>
        <v>430.41482167204606</v>
      </c>
      <c r="T134" s="62">
        <f t="shared" si="142"/>
        <v>177.02794100524551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35.785541309446636</v>
      </c>
      <c r="AA134" s="23">
        <f>EXP(-LN(2)/25)*AA133+(1-EXP(-LN(2)/25))/(LN(2)/25)*Calculateur!V134*Calculateur!X134*VLOOKUP('Données projet'!$B$9,Paramètres!$A$1:$I$89,3,0)*0.475*44/12</f>
        <v>22.863968590744385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58.649509900191021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1.2710188457276673E-13</v>
      </c>
      <c r="AK134" s="14">
        <f t="shared" si="143"/>
        <v>1.856866851063998E-12</v>
      </c>
      <c r="AL134" s="22">
        <f t="shared" si="112"/>
        <v>3.4554122145673649E-12</v>
      </c>
      <c r="AM134" s="62">
        <f t="shared" si="113"/>
        <v>293.33333333333678</v>
      </c>
      <c r="AN134" s="62">
        <f ca="1">AVERAGE(OFFSET($AM$3,0,0,'Données projet'!$E$10+1,1))-AVERAGE(OFFSET($H$3,0,0,'Données projet'!$E$10+1,1))</f>
        <v>507.43397352006832</v>
      </c>
      <c r="AO134" s="62">
        <f t="shared" si="144"/>
        <v>631.65579929520936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96.716129727335499</v>
      </c>
      <c r="AV134" s="23">
        <f>EXP(-LN(2)/25)*AV133+(1-EXP(-LN(2)/25))/(LN(2)/25)*Calculateur!AQ134*Calculateur!AS134*VLOOKUP('Données projet'!$B$10,Paramètres!$A$1:$I$89,3,0)*0.475*44/12</f>
        <v>6.8990549991716161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103.61518472650711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projet'!$B$11,Paramètres!$A$1:$I$89,3,0)*VLOOKUP('Données projet'!$B$11,Paramètres!$A$1:$I$89,5,0)</f>
        <v>1.3301360013429075E-13</v>
      </c>
      <c r="BF134" s="14">
        <f t="shared" si="145"/>
        <v>1.9329766731057041E-12</v>
      </c>
      <c r="BG134" s="22">
        <f t="shared" si="115"/>
        <v>3.5982663925596575E-12</v>
      </c>
      <c r="BH134" s="62">
        <f t="shared" si="116"/>
        <v>293.3333333333369</v>
      </c>
      <c r="BI134" s="62">
        <f ca="1">AVERAGE(OFFSET($BH$3,0,0,'Données projet'!$E$11+1,1))-AVERAGE(OFFSET($H$3,0,0,'Données projet'!$E$11+1,1))</f>
        <v>357.65167206083379</v>
      </c>
      <c r="BJ134" s="62">
        <f t="shared" si="146"/>
        <v>341.23389735986342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59.399184393814828</v>
      </c>
      <c r="BQ134" s="23">
        <f>EXP(-LN(2)/25)*BQ133+(1-EXP(-LN(2)/25))/(LN(2)/25)*Calculateur!BL134*Calculateur!BN134*VLOOKUP('Données projet'!$B$11,Paramètres!$A$1:$I$89,3,0)*0.475*44/12</f>
        <v>6.0695592419577338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65.468743635772569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6.4</v>
      </c>
      <c r="N135" s="14">
        <f>IF('Données projet'!$A$36&gt;35,N134+M135-V134,IF(A135&lt;'Données projet'!$A$36,$K$205^A135,IF(A135='Données projet'!$A$36,'Données projet'!$B$36,N134+M135-V134)))</f>
        <v>323.79999999999984</v>
      </c>
      <c r="O135" s="14">
        <f>N135*VLOOKUP('Données projet'!$B$9,Paramètres!$A$1:$I$89,3,0)*VLOOKUP('Données projet'!$B$9,Paramètres!$A$1:$I$89,5,0)</f>
        <v>292.97423999999984</v>
      </c>
      <c r="P135" s="14">
        <f t="shared" si="141"/>
        <v>69.70156908473075</v>
      </c>
      <c r="Q135" s="22">
        <f t="shared" si="108"/>
        <v>631.66036748923909</v>
      </c>
      <c r="R135" s="62">
        <f t="shared" si="109"/>
        <v>924.99370082257246</v>
      </c>
      <c r="S135" s="62">
        <f ca="1">AVERAGE(OFFSET($R$3,0,0,'Données projet'!$E$9+1,1))-AVERAGE(OFFSET($H$3,0,0,'Données projet'!$E$9+1,1))</f>
        <v>430.41482167204606</v>
      </c>
      <c r="T135" s="62">
        <f t="shared" si="142"/>
        <v>177.02794100524551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35.083808671393349</v>
      </c>
      <c r="AA135" s="23">
        <f>EXP(-LN(2)/25)*AA134+(1-EXP(-LN(2)/25))/(LN(2)/25)*Calculateur!V135*Calculateur!X135*VLOOKUP('Données projet'!$B$9,Paramètres!$A$1:$I$89,3,0)*0.475*44/12</f>
        <v>22.238752167266629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57.322560838659982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1.2710188457276673E-13</v>
      </c>
      <c r="AK135" s="14">
        <f t="shared" si="143"/>
        <v>1.856866851063998E-12</v>
      </c>
      <c r="AL135" s="22">
        <f t="shared" si="112"/>
        <v>3.4554122145673649E-12</v>
      </c>
      <c r="AM135" s="62">
        <f t="shared" si="113"/>
        <v>293.33333333333678</v>
      </c>
      <c r="AN135" s="62">
        <f ca="1">AVERAGE(OFFSET($AM$3,0,0,'Données projet'!$E$10+1,1))-AVERAGE(OFFSET($H$3,0,0,'Données projet'!$E$10+1,1))</f>
        <v>507.43397352006832</v>
      </c>
      <c r="AO135" s="62">
        <f t="shared" si="144"/>
        <v>631.65579929520936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94.819585414396698</v>
      </c>
      <c r="AV135" s="23">
        <f>EXP(-LN(2)/25)*AV134+(1-EXP(-LN(2)/25))/(LN(2)/25)*Calculateur!AQ135*Calculateur!AS135*VLOOKUP('Données projet'!$B$10,Paramètres!$A$1:$I$89,3,0)*0.475*44/12</f>
        <v>6.7103999774137337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101.52998539181043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projet'!$B$11,Paramètres!$A$1:$I$89,3,0)*VLOOKUP('Données projet'!$B$11,Paramètres!$A$1:$I$89,5,0)</f>
        <v>1.3301360013429075E-13</v>
      </c>
      <c r="BF135" s="14">
        <f t="shared" si="145"/>
        <v>1.9329766731057041E-12</v>
      </c>
      <c r="BG135" s="22">
        <f t="shared" si="115"/>
        <v>3.5982663925596575E-12</v>
      </c>
      <c r="BH135" s="62">
        <f t="shared" si="116"/>
        <v>293.3333333333369</v>
      </c>
      <c r="BI135" s="62">
        <f ca="1">AVERAGE(OFFSET($BH$3,0,0,'Données projet'!$E$11+1,1))-AVERAGE(OFFSET($H$3,0,0,'Données projet'!$E$11+1,1))</f>
        <v>357.65167206083379</v>
      </c>
      <c r="BJ135" s="62">
        <f t="shared" si="146"/>
        <v>341.23389735986342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58.234402617777192</v>
      </c>
      <c r="BQ135" s="23">
        <f>EXP(-LN(2)/25)*BQ134+(1-EXP(-LN(2)/25))/(LN(2)/25)*Calculateur!BL135*Calculateur!BN135*VLOOKUP('Données projet'!$B$11,Paramètres!$A$1:$I$89,3,0)*0.475*44/12</f>
        <v>5.9035868253021508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64.137989443079348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6.4</v>
      </c>
      <c r="N136" s="14">
        <f>IF('Données projet'!$A$36&gt;35,N135+M136-V135,IF(A136&lt;'Données projet'!$A$36,$K$205^A136,IF(A136='Données projet'!$A$36,'Données projet'!$B$36,N135+M136-V135)))</f>
        <v>330.19999999999982</v>
      </c>
      <c r="O136" s="14">
        <f>N136*VLOOKUP('Données projet'!$B$9,Paramètres!$A$1:$I$89,3,0)*VLOOKUP('Données projet'!$B$9,Paramètres!$A$1:$I$89,5,0)</f>
        <v>298.7649599999998</v>
      </c>
      <c r="P136" s="14">
        <f t="shared" si="141"/>
        <v>70.91748952334126</v>
      </c>
      <c r="Q136" s="22">
        <f t="shared" si="108"/>
        <v>643.86359958648575</v>
      </c>
      <c r="R136" s="62">
        <f t="shared" si="109"/>
        <v>937.19693291981912</v>
      </c>
      <c r="S136" s="62">
        <f ca="1">AVERAGE(OFFSET($R$3,0,0,'Données projet'!$E$9+1,1))-AVERAGE(OFFSET($H$3,0,0,'Données projet'!$E$9+1,1))</f>
        <v>430.41482167204606</v>
      </c>
      <c r="T136" s="62">
        <f t="shared" si="142"/>
        <v>177.02794100524551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34.395836582357639</v>
      </c>
      <c r="AA136" s="23">
        <f>EXP(-LN(2)/25)*AA135+(1-EXP(-LN(2)/25))/(LN(2)/25)*Calculateur!V136*Calculateur!X136*VLOOKUP('Données projet'!$B$9,Paramètres!$A$1:$I$89,3,0)*0.475*44/12</f>
        <v>21.630632319767575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56.026468902125217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1.2710188457276673E-13</v>
      </c>
      <c r="AK136" s="14">
        <f t="shared" si="143"/>
        <v>1.856866851063998E-12</v>
      </c>
      <c r="AL136" s="22">
        <f t="shared" si="112"/>
        <v>3.4554122145673649E-12</v>
      </c>
      <c r="AM136" s="62">
        <f t="shared" si="113"/>
        <v>293.33333333333678</v>
      </c>
      <c r="AN136" s="62">
        <f ca="1">AVERAGE(OFFSET($AM$3,0,0,'Données projet'!$E$10+1,1))-AVERAGE(OFFSET($H$3,0,0,'Données projet'!$E$10+1,1))</f>
        <v>507.43397352006832</v>
      </c>
      <c r="AO136" s="62">
        <f t="shared" si="144"/>
        <v>631.65579929520936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92.960231178656827</v>
      </c>
      <c r="AV136" s="23">
        <f>EXP(-LN(2)/25)*AV135+(1-EXP(-LN(2)/25))/(LN(2)/25)*Calculateur!AQ136*Calculateur!AS136*VLOOKUP('Données projet'!$B$10,Paramètres!$A$1:$I$89,3,0)*0.475*44/12</f>
        <v>6.5269037371467569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99.48713491580358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projet'!$B$11,Paramètres!$A$1:$I$89,3,0)*VLOOKUP('Données projet'!$B$11,Paramètres!$A$1:$I$89,5,0)</f>
        <v>1.3301360013429075E-13</v>
      </c>
      <c r="BF136" s="14">
        <f t="shared" si="145"/>
        <v>1.9329766731057041E-12</v>
      </c>
      <c r="BG136" s="22">
        <f t="shared" si="115"/>
        <v>3.5982663925596575E-12</v>
      </c>
      <c r="BH136" s="62">
        <f t="shared" si="116"/>
        <v>293.3333333333369</v>
      </c>
      <c r="BI136" s="62">
        <f ca="1">AVERAGE(OFFSET($BH$3,0,0,'Données projet'!$E$11+1,1))-AVERAGE(OFFSET($H$3,0,0,'Données projet'!$E$11+1,1))</f>
        <v>357.65167206083379</v>
      </c>
      <c r="BJ136" s="62">
        <f t="shared" si="146"/>
        <v>341.23389735986342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57.092461501920923</v>
      </c>
      <c r="BQ136" s="23">
        <f>EXP(-LN(2)/25)*BQ135+(1-EXP(-LN(2)/25))/(LN(2)/25)*Calculateur!BL136*Calculateur!BN136*VLOOKUP('Données projet'!$B$11,Paramètres!$A$1:$I$89,3,0)*0.475*44/12</f>
        <v>5.7421529331081249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62.834614435029046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6.4</v>
      </c>
      <c r="N137" s="14">
        <f>IF('Données projet'!$A$36&gt;35,N136+M137-V136,IF(A137&lt;'Données projet'!$A$36,$K$205^A137,IF(A137='Données projet'!$A$36,'Données projet'!$B$36,N136+M137-V136)))</f>
        <v>336.5999999999998</v>
      </c>
      <c r="O137" s="14">
        <f>N137*VLOOKUP('Données projet'!$B$9,Paramètres!$A$1:$I$89,3,0)*VLOOKUP('Données projet'!$B$9,Paramètres!$A$1:$I$89,5,0)</f>
        <v>304.55567999999982</v>
      </c>
      <c r="P137" s="14">
        <f t="shared" si="141"/>
        <v>72.13066965016597</v>
      </c>
      <c r="Q137" s="22">
        <f t="shared" si="108"/>
        <v>656.06205897403868</v>
      </c>
      <c r="R137" s="62">
        <f t="shared" si="109"/>
        <v>949.39539230737205</v>
      </c>
      <c r="S137" s="62">
        <f ca="1">AVERAGE(OFFSET($R$3,0,0,'Données projet'!$E$9+1,1))-AVERAGE(OFFSET($H$3,0,0,'Données projet'!$E$9+1,1))</f>
        <v>430.41482167204606</v>
      </c>
      <c r="T137" s="62">
        <f t="shared" si="142"/>
        <v>177.02794100524551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33.721355206366376</v>
      </c>
      <c r="AA137" s="23">
        <f>EXP(-LN(2)/25)*AA136+(1-EXP(-LN(2)/25))/(LN(2)/25)*Calculateur!V137*Calculateur!X137*VLOOKUP('Données projet'!$B$9,Paramètres!$A$1:$I$89,3,0)*0.475*44/12</f>
        <v>21.039141541478013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54.760496747844385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1.2710188457276673E-13</v>
      </c>
      <c r="AK137" s="14">
        <f t="shared" si="143"/>
        <v>1.856866851063998E-12</v>
      </c>
      <c r="AL137" s="22">
        <f t="shared" si="112"/>
        <v>3.4554122145673649E-12</v>
      </c>
      <c r="AM137" s="62">
        <f t="shared" si="113"/>
        <v>293.33333333333678</v>
      </c>
      <c r="AN137" s="62">
        <f ca="1">AVERAGE(OFFSET($AM$3,0,0,'Données projet'!$E$10+1,1))-AVERAGE(OFFSET($H$3,0,0,'Données projet'!$E$10+1,1))</f>
        <v>507.43397352006832</v>
      </c>
      <c r="AO137" s="62">
        <f t="shared" si="144"/>
        <v>631.65579929520936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91.137337745385707</v>
      </c>
      <c r="AV137" s="23">
        <f>EXP(-LN(2)/25)*AV136+(1-EXP(-LN(2)/25))/(LN(2)/25)*Calculateur!AQ137*Calculateur!AS137*VLOOKUP('Données projet'!$B$10,Paramètres!$A$1:$I$89,3,0)*0.475*44/12</f>
        <v>6.3484252112195287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97.485762956605242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projet'!$B$11,Paramètres!$A$1:$I$89,3,0)*VLOOKUP('Données projet'!$B$11,Paramètres!$A$1:$I$89,5,0)</f>
        <v>1.3301360013429075E-13</v>
      </c>
      <c r="BF137" s="14">
        <f t="shared" si="145"/>
        <v>1.9329766731057041E-12</v>
      </c>
      <c r="BG137" s="22">
        <f t="shared" si="115"/>
        <v>3.5982663925596575E-12</v>
      </c>
      <c r="BH137" s="62">
        <f t="shared" si="116"/>
        <v>293.3333333333369</v>
      </c>
      <c r="BI137" s="62">
        <f ca="1">AVERAGE(OFFSET($BH$3,0,0,'Données projet'!$E$11+1,1))-AVERAGE(OFFSET($H$3,0,0,'Données projet'!$E$11+1,1))</f>
        <v>357.65167206083379</v>
      </c>
      <c r="BJ137" s="62">
        <f t="shared" si="146"/>
        <v>341.23389735986342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55.972913154831289</v>
      </c>
      <c r="BQ137" s="23">
        <f>EXP(-LN(2)/25)*BQ136+(1-EXP(-LN(2)/25))/(LN(2)/25)*Calculateur!BL137*Calculateur!BN137*VLOOKUP('Données projet'!$B$11,Paramètres!$A$1:$I$89,3,0)*0.475*44/12</f>
        <v>5.5851334591855846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61.558046614016874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343</v>
      </c>
      <c r="L138" s="13">
        <f>VLOOKUP(A138,'Données projet'!$A$35:$I$55,9,0)</f>
        <v>6.4</v>
      </c>
      <c r="M138" s="13">
        <f t="array" ref="M138">INDEX(L:L,MIN(IF(ISNUMBER(L138:L334),ROW(L138:L334),"")))</f>
        <v>6.4</v>
      </c>
      <c r="N138" s="14">
        <f>IF('Données projet'!$A$36&gt;35,N137+M138-V137,IF(A138&lt;'Données projet'!$A$36,$K$205^A138,IF(A138='Données projet'!$A$36,'Données projet'!$B$36,N137+M138-V137)))</f>
        <v>342.99999999999977</v>
      </c>
      <c r="O138" s="14">
        <f>N138*VLOOKUP('Données projet'!$B$9,Paramètres!$A$1:$I$89,3,0)*VLOOKUP('Données projet'!$B$9,Paramètres!$A$1:$I$89,5,0)</f>
        <v>310.34639999999979</v>
      </c>
      <c r="P138" s="14">
        <f t="shared" si="141"/>
        <v>73.341167576152998</v>
      </c>
      <c r="Q138" s="22">
        <f t="shared" si="108"/>
        <v>668.25584686179945</v>
      </c>
      <c r="R138" s="62">
        <f t="shared" si="109"/>
        <v>961.58918019513271</v>
      </c>
      <c r="S138" s="62">
        <f ca="1">AVERAGE(OFFSET($R$3,0,0,'Données projet'!$E$9+1,1))-AVERAGE(OFFSET($H$3,0,0,'Données projet'!$E$9+1,1))</f>
        <v>430.41482167204606</v>
      </c>
      <c r="T138" s="62">
        <f t="shared" si="142"/>
        <v>177.02794100524551</v>
      </c>
      <c r="U138" s="16">
        <f>IF(ISNA(VLOOKUP(A138,'Données projet'!$A$35:$I$55,3,0)),0,VLOOKUP(A138,'Données projet'!$A$35:$I$55,3,0))</f>
        <v>11</v>
      </c>
      <c r="V138" s="16">
        <f>IF(ISNA(VLOOKUP(A138,'Données projet'!$A$35:$I$55,4,0)),0,VLOOKUP(A138,'Données projet'!$A$35:$I$55,4,0))</f>
        <v>50</v>
      </c>
      <c r="W138" s="17">
        <f>IF(ISNA(VLOOKUP(A138,'Données projet'!$A$35:$I$55,5,0)),0%,VLOOKUP(A138,'Données projet'!$A$35:$I$55,5,0)*VLOOKUP('Données projet'!$B$9,Paramètres!$A$1:$I$89,7,0))</f>
        <v>0.215</v>
      </c>
      <c r="X138" s="17">
        <f>IF(ISNA(VLOOKUP(A138,'Données projet'!$A$35:$I$55,6,0)),0%,VLOOKUP(A138,'Données projet'!$A$35:$I$55,6,0)*VLOOKUP('Données projet'!$B$9,Paramètres!$A$1:$I$89,7,0))</f>
        <v>0.17200000000000001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43.812568192330481</v>
      </c>
      <c r="AA138" s="23">
        <f>EXP(-LN(2)/25)*AA137+(1-EXP(-LN(2)/25))/(LN(2)/25)*Calculateur!V138*Calculateur!X138*VLOOKUP('Données projet'!$B$9,Paramètres!$A$1:$I$89,3,0)*0.475*44/12</f>
        <v>29.031930413046364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72.844498605376842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1.2710188457276673E-13</v>
      </c>
      <c r="AK138" s="14">
        <f t="shared" si="143"/>
        <v>1.856866851063998E-12</v>
      </c>
      <c r="AL138" s="22">
        <f t="shared" si="112"/>
        <v>3.4554122145673649E-12</v>
      </c>
      <c r="AM138" s="62">
        <f t="shared" si="113"/>
        <v>293.33333333333678</v>
      </c>
      <c r="AN138" s="62">
        <f ca="1">AVERAGE(OFFSET($AM$3,0,0,'Données projet'!$E$10+1,1))-AVERAGE(OFFSET($H$3,0,0,'Données projet'!$E$10+1,1))</f>
        <v>507.43397352006832</v>
      </c>
      <c r="AO138" s="62">
        <f t="shared" si="144"/>
        <v>631.65579929520936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89.350190140485836</v>
      </c>
      <c r="AV138" s="23">
        <f>EXP(-LN(2)/25)*AV137+(1-EXP(-LN(2)/25))/(LN(2)/25)*Calculateur!AQ138*Calculateur!AS138*VLOOKUP('Données projet'!$B$10,Paramètres!$A$1:$I$89,3,0)*0.475*44/12</f>
        <v>6.1748271899695588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95.525017330455398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projet'!$B$11,Paramètres!$A$1:$I$89,3,0)*VLOOKUP('Données projet'!$B$11,Paramètres!$A$1:$I$89,5,0)</f>
        <v>1.3301360013429075E-13</v>
      </c>
      <c r="BF138" s="14">
        <f t="shared" si="145"/>
        <v>1.9329766731057041E-12</v>
      </c>
      <c r="BG138" s="22">
        <f t="shared" si="115"/>
        <v>3.5982663925596575E-12</v>
      </c>
      <c r="BH138" s="62">
        <f t="shared" si="116"/>
        <v>293.3333333333369</v>
      </c>
      <c r="BI138" s="62">
        <f ca="1">AVERAGE(OFFSET($BH$3,0,0,'Données projet'!$E$11+1,1))-AVERAGE(OFFSET($H$3,0,0,'Données projet'!$E$11+1,1))</f>
        <v>357.65167206083379</v>
      </c>
      <c r="BJ138" s="62">
        <f t="shared" si="146"/>
        <v>341.23389735986342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54.87531846797102</v>
      </c>
      <c r="BQ138" s="23">
        <f>EXP(-LN(2)/25)*BQ137+(1-EXP(-LN(2)/25))/(LN(2)/25)*Calculateur!BL138*Calculateur!BN138*VLOOKUP('Données projet'!$B$11,Paramètres!$A$1:$I$89,3,0)*0.475*44/12</f>
        <v>5.4324076910347507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60.307726159005767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7.4</v>
      </c>
      <c r="N139" s="14">
        <f>IF('Données projet'!$A$36&gt;35,N138+M139-V138,IF(A139&lt;'Données projet'!$A$36,$K$205^A139,IF(A139='Données projet'!$A$36,'Données projet'!$B$36,N138+M139-V138)))</f>
        <v>300.39999999999975</v>
      </c>
      <c r="O139" s="14">
        <f>N139*VLOOKUP('Données projet'!$B$9,Paramètres!$A$1:$I$89,3,0)*VLOOKUP('Données projet'!$B$9,Paramètres!$A$1:$I$89,5,0)</f>
        <v>271.80191999999977</v>
      </c>
      <c r="P139" s="14">
        <f t="shared" si="141"/>
        <v>65.231534022367498</v>
      </c>
      <c r="Q139" s="22">
        <f t="shared" si="108"/>
        <v>586.99993242228959</v>
      </c>
      <c r="R139" s="62">
        <f t="shared" si="109"/>
        <v>880.33326575562296</v>
      </c>
      <c r="S139" s="62">
        <f ca="1">AVERAGE(OFFSET($R$3,0,0,'Données projet'!$E$9+1,1))-AVERAGE(OFFSET($H$3,0,0,'Données projet'!$E$9+1,1))</f>
        <v>430.41482167204606</v>
      </c>
      <c r="T139" s="62">
        <f t="shared" si="142"/>
        <v>177.02794100524551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42.953430453106797</v>
      </c>
      <c r="AA139" s="23">
        <f>EXP(-LN(2)/25)*AA138+(1-EXP(-LN(2)/25))/(LN(2)/25)*Calculateur!V139*Calculateur!X139*VLOOKUP('Données projet'!$B$9,Paramètres!$A$1:$I$89,3,0)*0.475*44/12</f>
        <v>28.238050749178743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71.191481202285544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1.2710188457276673E-13</v>
      </c>
      <c r="AK139" s="14">
        <f t="shared" si="143"/>
        <v>1.856866851063998E-12</v>
      </c>
      <c r="AL139" s="22">
        <f t="shared" si="112"/>
        <v>3.4554122145673649E-12</v>
      </c>
      <c r="AM139" s="62">
        <f t="shared" si="113"/>
        <v>293.33333333333678</v>
      </c>
      <c r="AN139" s="62">
        <f ca="1">AVERAGE(OFFSET($AM$3,0,0,'Données projet'!$E$10+1,1))-AVERAGE(OFFSET($H$3,0,0,'Données projet'!$E$10+1,1))</f>
        <v>507.43397352006832</v>
      </c>
      <c r="AO139" s="62">
        <f t="shared" si="144"/>
        <v>631.65579929520936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87.598087410065645</v>
      </c>
      <c r="AV139" s="23">
        <f>EXP(-LN(2)/25)*AV138+(1-EXP(-LN(2)/25))/(LN(2)/25)*Calculateur!AQ139*Calculateur!AS139*VLOOKUP('Données projet'!$B$10,Paramètres!$A$1:$I$89,3,0)*0.475*44/12</f>
        <v>6.0059762157397918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93.604063625805438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projet'!$B$11,Paramètres!$A$1:$I$89,3,0)*VLOOKUP('Données projet'!$B$11,Paramètres!$A$1:$I$89,5,0)</f>
        <v>1.3301360013429075E-13</v>
      </c>
      <c r="BF139" s="14">
        <f t="shared" si="145"/>
        <v>1.9329766731057041E-12</v>
      </c>
      <c r="BG139" s="22">
        <f t="shared" si="115"/>
        <v>3.5982663925596575E-12</v>
      </c>
      <c r="BH139" s="62">
        <f t="shared" si="116"/>
        <v>293.3333333333369</v>
      </c>
      <c r="BI139" s="62">
        <f ca="1">AVERAGE(OFFSET($BH$3,0,0,'Données projet'!$E$11+1,1))-AVERAGE(OFFSET($H$3,0,0,'Données projet'!$E$11+1,1))</f>
        <v>357.65167206083379</v>
      </c>
      <c r="BJ139" s="62">
        <f t="shared" si="146"/>
        <v>341.23389735986342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53.799246943453426</v>
      </c>
      <c r="BQ139" s="23">
        <f>EXP(-LN(2)/25)*BQ138+(1-EXP(-LN(2)/25))/(LN(2)/25)*Calculateur!BL139*Calculateur!BN139*VLOOKUP('Données projet'!$B$11,Paramètres!$A$1:$I$89,3,0)*0.475*44/12</f>
        <v>5.2838582170455011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59.083105160498924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7.4</v>
      </c>
      <c r="N140" s="14">
        <f>IF('Données projet'!$A$36&gt;35,N139+M140-V139,IF(A140&lt;'Données projet'!$A$36,$K$205^A140,IF(A140='Données projet'!$A$36,'Données projet'!$B$36,N139+M140-V139)))</f>
        <v>307.79999999999973</v>
      </c>
      <c r="O140" s="14">
        <f>N140*VLOOKUP('Données projet'!$B$9,Paramètres!$A$1:$I$89,3,0)*VLOOKUP('Données projet'!$B$9,Paramètres!$A$1:$I$89,5,0)</f>
        <v>278.49743999999976</v>
      </c>
      <c r="P140" s="14">
        <f t="shared" si="141"/>
        <v>66.649375389445595</v>
      </c>
      <c r="Q140" s="22">
        <f t="shared" si="108"/>
        <v>601.13070346995062</v>
      </c>
      <c r="R140" s="62">
        <f t="shared" si="109"/>
        <v>894.46403680328399</v>
      </c>
      <c r="S140" s="62">
        <f ca="1">AVERAGE(OFFSET($R$3,0,0,'Données projet'!$E$9+1,1))-AVERAGE(OFFSET($H$3,0,0,'Données projet'!$E$9+1,1))</f>
        <v>430.41482167204606</v>
      </c>
      <c r="T140" s="62">
        <f t="shared" si="142"/>
        <v>177.02794100524551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42.111139880927013</v>
      </c>
      <c r="AA140" s="23">
        <f>EXP(-LN(2)/25)*AA139+(1-EXP(-LN(2)/25))/(LN(2)/25)*Calculateur!V140*Calculateur!X140*VLOOKUP('Données projet'!$B$9,Paramètres!$A$1:$I$89,3,0)*0.475*44/12</f>
        <v>27.4658797664679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69.577019647394906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1.2710188457276673E-13</v>
      </c>
      <c r="AK140" s="14">
        <f t="shared" si="143"/>
        <v>1.856866851063998E-12</v>
      </c>
      <c r="AL140" s="22">
        <f t="shared" si="112"/>
        <v>3.4554122145673649E-12</v>
      </c>
      <c r="AM140" s="62">
        <f t="shared" si="113"/>
        <v>293.33333333333678</v>
      </c>
      <c r="AN140" s="62">
        <f ca="1">AVERAGE(OFFSET($AM$3,0,0,'Données projet'!$E$10+1,1))-AVERAGE(OFFSET($H$3,0,0,'Données projet'!$E$10+1,1))</f>
        <v>507.43397352006832</v>
      </c>
      <c r="AO140" s="62">
        <f t="shared" si="144"/>
        <v>631.65579929520936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85.880342345511849</v>
      </c>
      <c r="AV140" s="23">
        <f>EXP(-LN(2)/25)*AV139+(1-EXP(-LN(2)/25))/(LN(2)/25)*Calculateur!AQ140*Calculateur!AS140*VLOOKUP('Données projet'!$B$10,Paramètres!$A$1:$I$89,3,0)*0.475*44/12</f>
        <v>5.8417424802798248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91.722084825791669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projet'!$B$11,Paramètres!$A$1:$I$89,3,0)*VLOOKUP('Données projet'!$B$11,Paramètres!$A$1:$I$89,5,0)</f>
        <v>1.3301360013429075E-13</v>
      </c>
      <c r="BF140" s="14">
        <f t="shared" si="145"/>
        <v>1.9329766731057041E-12</v>
      </c>
      <c r="BG140" s="22">
        <f t="shared" si="115"/>
        <v>3.5982663925596575E-12</v>
      </c>
      <c r="BH140" s="62">
        <f t="shared" si="116"/>
        <v>293.3333333333369</v>
      </c>
      <c r="BI140" s="62">
        <f ca="1">AVERAGE(OFFSET($BH$3,0,0,'Données projet'!$E$11+1,1))-AVERAGE(OFFSET($H$3,0,0,'Données projet'!$E$11+1,1))</f>
        <v>357.65167206083379</v>
      </c>
      <c r="BJ140" s="62">
        <f t="shared" si="146"/>
        <v>341.23389735986342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52.744276525192795</v>
      </c>
      <c r="BQ140" s="23">
        <f>EXP(-LN(2)/25)*BQ139+(1-EXP(-LN(2)/25))/(LN(2)/25)*Calculateur!BL140*Calculateur!BN140*VLOOKUP('Données projet'!$B$11,Paramètres!$A$1:$I$89,3,0)*0.475*44/12</f>
        <v>5.1393708362343649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57.883647361427158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7.4</v>
      </c>
      <c r="N141" s="14">
        <f>IF('Données projet'!$A$36&gt;35,N140+M141-V140,IF(A141&lt;'Données projet'!$A$36,$K$205^A141,IF(A141='Données projet'!$A$36,'Données projet'!$B$36,N140+M141-V140)))</f>
        <v>315.1999999999997</v>
      </c>
      <c r="O141" s="14">
        <f>N141*VLOOKUP('Données projet'!$B$9,Paramètres!$A$1:$I$89,3,0)*VLOOKUP('Données projet'!$B$9,Paramètres!$A$1:$I$89,5,0)</f>
        <v>285.19295999999969</v>
      </c>
      <c r="P141" s="14">
        <f t="shared" si="141"/>
        <v>68.06325415489097</v>
      </c>
      <c r="Q141" s="22">
        <f t="shared" si="108"/>
        <v>615.25457298643448</v>
      </c>
      <c r="R141" s="62">
        <f t="shared" si="109"/>
        <v>908.58790631976785</v>
      </c>
      <c r="S141" s="62">
        <f ca="1">AVERAGE(OFFSET($R$3,0,0,'Données projet'!$E$9+1,1))-AVERAGE(OFFSET($H$3,0,0,'Données projet'!$E$9+1,1))</f>
        <v>430.41482167204606</v>
      </c>
      <c r="T141" s="62">
        <f t="shared" si="142"/>
        <v>177.02794100524551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41.28536611312115</v>
      </c>
      <c r="AA141" s="23">
        <f>EXP(-LN(2)/25)*AA140+(1-EXP(-LN(2)/25))/(LN(2)/25)*Calculateur!V141*Calculateur!X141*VLOOKUP('Données projet'!$B$9,Paramètres!$A$1:$I$89,3,0)*0.475*44/12</f>
        <v>26.714823839885991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68.000189953007137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1.2710188457276673E-13</v>
      </c>
      <c r="AK141" s="14">
        <f t="shared" si="143"/>
        <v>1.856866851063998E-12</v>
      </c>
      <c r="AL141" s="22">
        <f t="shared" si="112"/>
        <v>3.4554122145673649E-12</v>
      </c>
      <c r="AM141" s="62">
        <f t="shared" si="113"/>
        <v>293.33333333333678</v>
      </c>
      <c r="AN141" s="62">
        <f ca="1">AVERAGE(OFFSET($AM$3,0,0,'Données projet'!$E$10+1,1))-AVERAGE(OFFSET($H$3,0,0,'Données projet'!$E$10+1,1))</f>
        <v>507.43397352006832</v>
      </c>
      <c r="AO141" s="62">
        <f t="shared" si="144"/>
        <v>631.65579929520936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84.196281213952915</v>
      </c>
      <c r="AV141" s="23">
        <f>EXP(-LN(2)/25)*AV140+(1-EXP(-LN(2)/25))/(LN(2)/25)*Calculateur!AQ141*Calculateur!AS141*VLOOKUP('Données projet'!$B$10,Paramètres!$A$1:$I$89,3,0)*0.475*44/12</f>
        <v>5.6819997249526875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89.878280938905604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projet'!$B$11,Paramètres!$A$1:$I$89,3,0)*VLOOKUP('Données projet'!$B$11,Paramètres!$A$1:$I$89,5,0)</f>
        <v>1.3301360013429075E-13</v>
      </c>
      <c r="BF141" s="14">
        <f t="shared" si="145"/>
        <v>1.9329766731057041E-12</v>
      </c>
      <c r="BG141" s="22">
        <f t="shared" si="115"/>
        <v>3.5982663925596575E-12</v>
      </c>
      <c r="BH141" s="62">
        <f t="shared" si="116"/>
        <v>293.3333333333369</v>
      </c>
      <c r="BI141" s="62">
        <f ca="1">AVERAGE(OFFSET($BH$3,0,0,'Données projet'!$E$11+1,1))-AVERAGE(OFFSET($H$3,0,0,'Données projet'!$E$11+1,1))</f>
        <v>357.65167206083379</v>
      </c>
      <c r="BJ141" s="62">
        <f t="shared" si="146"/>
        <v>341.23389735986342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51.709993433365838</v>
      </c>
      <c r="BQ141" s="23">
        <f>EXP(-LN(2)/25)*BQ140+(1-EXP(-LN(2)/25))/(LN(2)/25)*Calculateur!BL141*Calculateur!BN141*VLOOKUP('Données projet'!$B$11,Paramètres!$A$1:$I$89,3,0)*0.475*44/12</f>
        <v>4.9988344704497703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56.70882790381561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7.4</v>
      </c>
      <c r="N142" s="14">
        <f>IF('Données projet'!$A$36&gt;35,N141+M142-V141,IF(A142&lt;'Données projet'!$A$36,$K$205^A142,IF(A142='Données projet'!$A$36,'Données projet'!$B$36,N141+M142-V141)))</f>
        <v>322.59999999999968</v>
      </c>
      <c r="O142" s="14">
        <f>N142*VLOOKUP('Données projet'!$B$9,Paramètres!$A$1:$I$89,3,0)*VLOOKUP('Données projet'!$B$9,Paramètres!$A$1:$I$89,5,0)</f>
        <v>291.88847999999973</v>
      </c>
      <c r="P142" s="14">
        <f t="shared" si="141"/>
        <v>69.473274055573441</v>
      </c>
      <c r="Q142" s="22">
        <f t="shared" si="108"/>
        <v>629.37172164678998</v>
      </c>
      <c r="R142" s="62">
        <f t="shared" si="109"/>
        <v>922.70505498012335</v>
      </c>
      <c r="S142" s="62">
        <f ca="1">AVERAGE(OFFSET($R$3,0,0,'Données projet'!$E$9+1,1))-AVERAGE(OFFSET($H$3,0,0,'Données projet'!$E$9+1,1))</f>
        <v>430.41482167204606</v>
      </c>
      <c r="T142" s="62">
        <f t="shared" si="142"/>
        <v>177.02794100524551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40.475785265229696</v>
      </c>
      <c r="AA142" s="23">
        <f>EXP(-LN(2)/25)*AA141+(1-EXP(-LN(2)/25))/(LN(2)/25)*Calculateur!V142*Calculateur!X142*VLOOKUP('Données projet'!$B$9,Paramètres!$A$1:$I$89,3,0)*0.475*44/12</f>
        <v>25.984305577112782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66.460090842342481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1.2710188457276673E-13</v>
      </c>
      <c r="AK142" s="14">
        <f t="shared" si="143"/>
        <v>1.856866851063998E-12</v>
      </c>
      <c r="AL142" s="22">
        <f t="shared" si="112"/>
        <v>3.4554122145673649E-12</v>
      </c>
      <c r="AM142" s="62">
        <f t="shared" si="113"/>
        <v>293.33333333333678</v>
      </c>
      <c r="AN142" s="62">
        <f ca="1">AVERAGE(OFFSET($AM$3,0,0,'Données projet'!$E$10+1,1))-AVERAGE(OFFSET($H$3,0,0,'Données projet'!$E$10+1,1))</f>
        <v>507.43397352006832</v>
      </c>
      <c r="AO142" s="62">
        <f t="shared" si="144"/>
        <v>631.65579929520936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82.545243494007991</v>
      </c>
      <c r="AV142" s="23">
        <f>EXP(-LN(2)/25)*AV141+(1-EXP(-LN(2)/25))/(LN(2)/25)*Calculateur!AQ142*Calculateur!AS142*VLOOKUP('Données projet'!$B$10,Paramètres!$A$1:$I$89,3,0)*0.475*44/12</f>
        <v>5.5266251436704774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88.071868637678463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projet'!$B$11,Paramètres!$A$1:$I$89,3,0)*VLOOKUP('Données projet'!$B$11,Paramètres!$A$1:$I$89,5,0)</f>
        <v>1.3301360013429075E-13</v>
      </c>
      <c r="BF142" s="14">
        <f t="shared" si="145"/>
        <v>1.9329766731057041E-12</v>
      </c>
      <c r="BG142" s="22">
        <f t="shared" si="115"/>
        <v>3.5982663925596575E-12</v>
      </c>
      <c r="BH142" s="62">
        <f t="shared" si="116"/>
        <v>293.3333333333369</v>
      </c>
      <c r="BI142" s="62">
        <f ca="1">AVERAGE(OFFSET($BH$3,0,0,'Données projet'!$E$11+1,1))-AVERAGE(OFFSET($H$3,0,0,'Données projet'!$E$11+1,1))</f>
        <v>357.65167206083379</v>
      </c>
      <c r="BJ142" s="62">
        <f t="shared" si="146"/>
        <v>341.23389735986342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50.695992002119212</v>
      </c>
      <c r="BQ142" s="23">
        <f>EXP(-LN(2)/25)*BQ141+(1-EXP(-LN(2)/25))/(LN(2)/25)*Calculateur!BL142*Calculateur!BN142*VLOOKUP('Données projet'!$B$11,Paramètres!$A$1:$I$89,3,0)*0.475*44/12</f>
        <v>4.8621410789780413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55.558133081097253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7.4</v>
      </c>
      <c r="N143" s="14">
        <f>IF('Données projet'!$A$36&gt;35,N142+M143-V142,IF(A143&lt;'Données projet'!$A$36,$K$205^A143,IF(A143='Données projet'!$A$36,'Données projet'!$B$36,N142+M143-V142)))</f>
        <v>329.99999999999966</v>
      </c>
      <c r="O143" s="14">
        <f>N143*VLOOKUP('Données projet'!$B$9,Paramètres!$A$1:$I$89,3,0)*VLOOKUP('Données projet'!$B$9,Paramètres!$A$1:$I$89,5,0)</f>
        <v>298.58399999999966</v>
      </c>
      <c r="P143" s="14">
        <f t="shared" si="141"/>
        <v>70.879533797607536</v>
      </c>
      <c r="Q143" s="22">
        <f t="shared" si="108"/>
        <v>643.48232136416584</v>
      </c>
      <c r="R143" s="62">
        <f t="shared" si="109"/>
        <v>936.81565469749921</v>
      </c>
      <c r="S143" s="62">
        <f ca="1">AVERAGE(OFFSET($R$3,0,0,'Données projet'!$E$9+1,1))-AVERAGE(OFFSET($H$3,0,0,'Données projet'!$E$9+1,1))</f>
        <v>430.41482167204606</v>
      </c>
      <c r="T143" s="62">
        <f t="shared" si="142"/>
        <v>177.02794100524551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39.682079803969835</v>
      </c>
      <c r="AA143" s="23">
        <f>EXP(-LN(2)/25)*AA142+(1-EXP(-LN(2)/25))/(LN(2)/25)*Calculateur!V143*Calculateur!X143*VLOOKUP('Données projet'!$B$9,Paramètres!$A$1:$I$89,3,0)*0.475*44/12</f>
        <v>25.273763374651391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64.955843178621222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1.2710188457276673E-13</v>
      </c>
      <c r="AK143" s="14">
        <f t="shared" si="143"/>
        <v>1.856866851063998E-12</v>
      </c>
      <c r="AL143" s="22">
        <f t="shared" si="112"/>
        <v>3.4554122145673649E-12</v>
      </c>
      <c r="AM143" s="62">
        <f t="shared" si="113"/>
        <v>293.33333333333678</v>
      </c>
      <c r="AN143" s="62">
        <f ca="1">AVERAGE(OFFSET($AM$3,0,0,'Données projet'!$E$10+1,1))-AVERAGE(OFFSET($H$3,0,0,'Données projet'!$E$10+1,1))</f>
        <v>507.43397352006832</v>
      </c>
      <c r="AO143" s="62">
        <f t="shared" si="144"/>
        <v>631.65579929520936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80.926581616717613</v>
      </c>
      <c r="AV143" s="23">
        <f>EXP(-LN(2)/25)*AV142+(1-EXP(-LN(2)/25))/(LN(2)/25)*Calculateur!AQ143*Calculateur!AS143*VLOOKUP('Données projet'!$B$10,Paramètres!$A$1:$I$89,3,0)*0.475*44/12</f>
        <v>5.3754992884842228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86.302080905201834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projet'!$B$11,Paramètres!$A$1:$I$89,3,0)*VLOOKUP('Données projet'!$B$11,Paramètres!$A$1:$I$89,5,0)</f>
        <v>1.3301360013429075E-13</v>
      </c>
      <c r="BF143" s="14">
        <f t="shared" si="145"/>
        <v>1.9329766731057041E-12</v>
      </c>
      <c r="BG143" s="22">
        <f t="shared" si="115"/>
        <v>3.5982663925596575E-12</v>
      </c>
      <c r="BH143" s="62">
        <f t="shared" si="116"/>
        <v>293.3333333333369</v>
      </c>
      <c r="BI143" s="62">
        <f ca="1">AVERAGE(OFFSET($BH$3,0,0,'Données projet'!$E$11+1,1))-AVERAGE(OFFSET($H$3,0,0,'Données projet'!$E$11+1,1))</f>
        <v>357.65167206083379</v>
      </c>
      <c r="BJ143" s="62">
        <f t="shared" si="146"/>
        <v>341.23389735986342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49.701874520459533</v>
      </c>
      <c r="BQ143" s="23">
        <f>EXP(-LN(2)/25)*BQ142+(1-EXP(-LN(2)/25))/(LN(2)/25)*Calculateur!BL143*Calculateur!BN143*VLOOKUP('Données projet'!$B$11,Paramètres!$A$1:$I$89,3,0)*0.475*44/12</f>
        <v>4.7291855754845002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54.431060095944034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7.4</v>
      </c>
      <c r="N144" s="14">
        <f>IF('Données projet'!$A$36&gt;35,N143+M144-V143,IF(A144&lt;'Données projet'!$A$36,$K$205^A144,IF(A144='Données projet'!$A$36,'Données projet'!$B$36,N143+M144-V143)))</f>
        <v>337.39999999999964</v>
      </c>
      <c r="O144" s="14">
        <f>N144*VLOOKUP('Données projet'!$B$9,Paramètres!$A$1:$I$89,3,0)*VLOOKUP('Données projet'!$B$9,Paramètres!$A$1:$I$89,5,0)</f>
        <v>305.27951999999965</v>
      </c>
      <c r="P144" s="14">
        <f t="shared" si="141"/>
        <v>72.282127407576738</v>
      </c>
      <c r="Q144" s="22">
        <f t="shared" si="108"/>
        <v>657.58653590152892</v>
      </c>
      <c r="R144" s="62">
        <f t="shared" si="109"/>
        <v>950.91986923486229</v>
      </c>
      <c r="S144" s="62">
        <f ca="1">AVERAGE(OFFSET($R$3,0,0,'Données projet'!$E$9+1,1))-AVERAGE(OFFSET($H$3,0,0,'Données projet'!$E$9+1,1))</f>
        <v>430.41482167204606</v>
      </c>
      <c r="T144" s="62">
        <f t="shared" si="142"/>
        <v>177.02794100524551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38.903938422692754</v>
      </c>
      <c r="AA144" s="23">
        <f>EXP(-LN(2)/25)*AA143+(1-EXP(-LN(2)/25))/(LN(2)/25)*Calculateur!V144*Calculateur!X144*VLOOKUP('Données projet'!$B$9,Paramètres!$A$1:$I$89,3,0)*0.475*44/12</f>
        <v>24.582650986082097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63.486589408774847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1.2710188457276673E-13</v>
      </c>
      <c r="AK144" s="14">
        <f t="shared" si="143"/>
        <v>1.856866851063998E-12</v>
      </c>
      <c r="AL144" s="22">
        <f t="shared" si="112"/>
        <v>3.4554122145673649E-12</v>
      </c>
      <c r="AM144" s="62">
        <f t="shared" si="113"/>
        <v>293.33333333333678</v>
      </c>
      <c r="AN144" s="62">
        <f ca="1">AVERAGE(OFFSET($AM$3,0,0,'Données projet'!$E$10+1,1))-AVERAGE(OFFSET($H$3,0,0,'Données projet'!$E$10+1,1))</f>
        <v>507.43397352006832</v>
      </c>
      <c r="AO144" s="62">
        <f t="shared" si="144"/>
        <v>631.65579929520936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79.339660711554643</v>
      </c>
      <c r="AV144" s="23">
        <f>EXP(-LN(2)/25)*AV143+(1-EXP(-LN(2)/25))/(LN(2)/25)*Calculateur!AQ144*Calculateur!AS144*VLOOKUP('Données projet'!$B$10,Paramètres!$A$1:$I$89,3,0)*0.475*44/12</f>
        <v>5.2285059777554004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84.568166689310047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projet'!$B$11,Paramètres!$A$1:$I$89,3,0)*VLOOKUP('Données projet'!$B$11,Paramètres!$A$1:$I$89,5,0)</f>
        <v>1.3301360013429075E-13</v>
      </c>
      <c r="BF144" s="14">
        <f t="shared" si="145"/>
        <v>1.9329766731057041E-12</v>
      </c>
      <c r="BG144" s="22">
        <f t="shared" si="115"/>
        <v>3.5982663925596575E-12</v>
      </c>
      <c r="BH144" s="62">
        <f t="shared" si="116"/>
        <v>293.3333333333369</v>
      </c>
      <c r="BI144" s="62">
        <f ca="1">AVERAGE(OFFSET($BH$3,0,0,'Données projet'!$E$11+1,1))-AVERAGE(OFFSET($H$3,0,0,'Données projet'!$E$11+1,1))</f>
        <v>357.65167206083379</v>
      </c>
      <c r="BJ144" s="62">
        <f t="shared" si="146"/>
        <v>341.23389735986342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48.727251076263407</v>
      </c>
      <c r="BQ144" s="23">
        <f>EXP(-LN(2)/25)*BQ143+(1-EXP(-LN(2)/25))/(LN(2)/25)*Calculateur!BL144*Calculateur!BN144*VLOOKUP('Données projet'!$B$11,Paramètres!$A$1:$I$89,3,0)*0.475*44/12</f>
        <v>4.5998657472258158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53.32711682348922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7.4</v>
      </c>
      <c r="N145" s="14">
        <f>IF('Données projet'!$A$36&gt;35,N144+M145-V144,IF(A145&lt;'Données projet'!$A$36,$K$205^A145,IF(A145='Données projet'!$A$36,'Données projet'!$B$36,N144+M145-V144)))</f>
        <v>344.79999999999961</v>
      </c>
      <c r="O145" s="14">
        <f>N145*VLOOKUP('Données projet'!$B$9,Paramètres!$A$1:$I$89,3,0)*VLOOKUP('Données projet'!$B$9,Paramètres!$A$1:$I$89,5,0)</f>
        <v>311.97503999999964</v>
      </c>
      <c r="P145" s="14">
        <f t="shared" si="141"/>
        <v>73.681144552074542</v>
      </c>
      <c r="Q145" s="22">
        <f t="shared" si="108"/>
        <v>671.68452142819592</v>
      </c>
      <c r="R145" s="62">
        <f t="shared" si="109"/>
        <v>965.01785476152918</v>
      </c>
      <c r="S145" s="62">
        <f ca="1">AVERAGE(OFFSET($R$3,0,0,'Données projet'!$E$9+1,1))-AVERAGE(OFFSET($H$3,0,0,'Données projet'!$E$9+1,1))</f>
        <v>430.41482167204606</v>
      </c>
      <c r="T145" s="62">
        <f t="shared" si="142"/>
        <v>177.02794100524551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38.14105591928314</v>
      </c>
      <c r="AA145" s="23">
        <f>EXP(-LN(2)/25)*AA144+(1-EXP(-LN(2)/25))/(LN(2)/25)*Calculateur!V145*Calculateur!X145*VLOOKUP('Données projet'!$B$9,Paramètres!$A$1:$I$89,3,0)*0.475*44/12</f>
        <v>23.910437102122252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62.051493021405392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1.2710188457276673E-13</v>
      </c>
      <c r="AK145" s="14">
        <f t="shared" si="143"/>
        <v>1.856866851063998E-12</v>
      </c>
      <c r="AL145" s="22">
        <f t="shared" si="112"/>
        <v>3.4554122145673649E-12</v>
      </c>
      <c r="AM145" s="62">
        <f t="shared" si="113"/>
        <v>293.33333333333678</v>
      </c>
      <c r="AN145" s="62">
        <f ca="1">AVERAGE(OFFSET($AM$3,0,0,'Données projet'!$E$10+1,1))-AVERAGE(OFFSET($H$3,0,0,'Données projet'!$E$10+1,1))</f>
        <v>507.43397352006832</v>
      </c>
      <c r="AO145" s="62">
        <f t="shared" si="144"/>
        <v>631.65579929520936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77.783858357415738</v>
      </c>
      <c r="AV145" s="23">
        <f>EXP(-LN(2)/25)*AV144+(1-EXP(-LN(2)/25))/(LN(2)/25)*Calculateur!AQ145*Calculateur!AS145*VLOOKUP('Données projet'!$B$10,Paramètres!$A$1:$I$89,3,0)*0.475*44/12</f>
        <v>5.0855322068384998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82.869390564254232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projet'!$B$11,Paramètres!$A$1:$I$89,3,0)*VLOOKUP('Données projet'!$B$11,Paramètres!$A$1:$I$89,5,0)</f>
        <v>1.3301360013429075E-13</v>
      </c>
      <c r="BF145" s="14">
        <f t="shared" si="145"/>
        <v>1.9329766731057041E-12</v>
      </c>
      <c r="BG145" s="22">
        <f t="shared" si="115"/>
        <v>3.5982663925596575E-12</v>
      </c>
      <c r="BH145" s="62">
        <f t="shared" si="116"/>
        <v>293.3333333333369</v>
      </c>
      <c r="BI145" s="62">
        <f ca="1">AVERAGE(OFFSET($BH$3,0,0,'Données projet'!$E$11+1,1))-AVERAGE(OFFSET($H$3,0,0,'Données projet'!$E$11+1,1))</f>
        <v>357.65167206083379</v>
      </c>
      <c r="BJ145" s="62">
        <f t="shared" si="146"/>
        <v>341.23389735986342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47.771739403346366</v>
      </c>
      <c r="BQ145" s="23">
        <f>EXP(-LN(2)/25)*BQ144+(1-EXP(-LN(2)/25))/(LN(2)/25)*Calculateur!BL145*Calculateur!BN145*VLOOKUP('Données projet'!$B$11,Paramètres!$A$1:$I$89,3,0)*0.475*44/12</f>
        <v>4.4740821764714997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52.245821579817864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7.4</v>
      </c>
      <c r="N146" s="14">
        <f>IF('Données projet'!$A$36&gt;35,N145+M146-V145,IF(A146&lt;'Données projet'!$A$36,$K$205^A146,IF(A146='Données projet'!$A$36,'Données projet'!$B$36,N145+M146-V145)))</f>
        <v>352.19999999999959</v>
      </c>
      <c r="O146" s="14">
        <f>N146*VLOOKUP('Données projet'!$B$9,Paramètres!$A$1:$I$89,3,0)*VLOOKUP('Données projet'!$B$9,Paramètres!$A$1:$I$89,5,0)</f>
        <v>318.67055999999963</v>
      </c>
      <c r="P146" s="14">
        <f t="shared" si="141"/>
        <v>75.076670829041049</v>
      </c>
      <c r="Q146" s="22">
        <f t="shared" si="108"/>
        <v>685.77642702724586</v>
      </c>
      <c r="R146" s="62">
        <f t="shared" si="109"/>
        <v>979.10976036057923</v>
      </c>
      <c r="S146" s="62">
        <f ca="1">AVERAGE(OFFSET($R$3,0,0,'Données projet'!$E$9+1,1))-AVERAGE(OFFSET($H$3,0,0,'Données projet'!$E$9+1,1))</f>
        <v>430.41482167204606</v>
      </c>
      <c r="T146" s="62">
        <f t="shared" si="142"/>
        <v>177.02794100524551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37.393133076453005</v>
      </c>
      <c r="AA146" s="23">
        <f>EXP(-LN(2)/25)*AA145+(1-EXP(-LN(2)/25))/(LN(2)/25)*Calculateur!V146*Calculateur!X146*VLOOKUP('Données projet'!$B$9,Paramètres!$A$1:$I$89,3,0)*0.475*44/12</f>
        <v>23.256604942169481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60.649738018622486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1.2710188457276673E-13</v>
      </c>
      <c r="AK146" s="14">
        <f t="shared" si="143"/>
        <v>1.856866851063998E-12</v>
      </c>
      <c r="AL146" s="22">
        <f t="shared" si="112"/>
        <v>3.4554122145673649E-12</v>
      </c>
      <c r="AM146" s="62">
        <f t="shared" si="113"/>
        <v>293.33333333333678</v>
      </c>
      <c r="AN146" s="62">
        <f ca="1">AVERAGE(OFFSET($AM$3,0,0,'Données projet'!$E$10+1,1))-AVERAGE(OFFSET($H$3,0,0,'Données projet'!$E$10+1,1))</f>
        <v>507.43397352006832</v>
      </c>
      <c r="AO146" s="62">
        <f t="shared" si="144"/>
        <v>631.65579929520936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76.258564338495759</v>
      </c>
      <c r="AV146" s="23">
        <f>EXP(-LN(2)/25)*AV145+(1-EXP(-LN(2)/25))/(LN(2)/25)*Calculateur!AQ146*Calculateur!AS146*VLOOKUP('Données projet'!$B$10,Paramètres!$A$1:$I$89,3,0)*0.475*44/12</f>
        <v>4.9464680612059855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81.20503239970175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projet'!$B$11,Paramètres!$A$1:$I$89,3,0)*VLOOKUP('Données projet'!$B$11,Paramètres!$A$1:$I$89,5,0)</f>
        <v>1.3301360013429075E-13</v>
      </c>
      <c r="BF146" s="14">
        <f t="shared" si="145"/>
        <v>1.9329766731057041E-12</v>
      </c>
      <c r="BG146" s="22">
        <f t="shared" si="115"/>
        <v>3.5982663925596575E-12</v>
      </c>
      <c r="BH146" s="62">
        <f t="shared" si="116"/>
        <v>293.3333333333369</v>
      </c>
      <c r="BI146" s="62">
        <f ca="1">AVERAGE(OFFSET($BH$3,0,0,'Données projet'!$E$11+1,1))-AVERAGE(OFFSET($H$3,0,0,'Données projet'!$E$11+1,1))</f>
        <v>357.65167206083379</v>
      </c>
      <c r="BJ146" s="62">
        <f t="shared" si="146"/>
        <v>341.23389735986342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46.834964731530654</v>
      </c>
      <c r="BQ146" s="23">
        <f>EXP(-LN(2)/25)*BQ145+(1-EXP(-LN(2)/25))/(LN(2)/25)*Calculateur!BL146*Calculateur!BN146*VLOOKUP('Données projet'!$B$11,Paramètres!$A$1:$I$89,3,0)*0.475*44/12</f>
        <v>4.3517381640741304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51.186702895604782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7.4</v>
      </c>
      <c r="N147" s="14">
        <f>IF('Données projet'!$A$36&gt;35,N146+M147-V146,IF(A147&lt;'Données projet'!$A$36,$K$205^A147,IF(A147='Données projet'!$A$36,'Données projet'!$B$36,N146+M147-V146)))</f>
        <v>359.59999999999957</v>
      </c>
      <c r="O147" s="14">
        <f>N147*VLOOKUP('Données projet'!$B$9,Paramètres!$A$1:$I$89,3,0)*VLOOKUP('Données projet'!$B$9,Paramètres!$A$1:$I$89,5,0)</f>
        <v>325.36607999999961</v>
      </c>
      <c r="P147" s="14">
        <f t="shared" si="141"/>
        <v>76.46878803392363</v>
      </c>
      <c r="Q147" s="22">
        <f t="shared" si="108"/>
        <v>699.86239515908301</v>
      </c>
      <c r="R147" s="62">
        <f t="shared" si="109"/>
        <v>993.19572849241626</v>
      </c>
      <c r="S147" s="62">
        <f ca="1">AVERAGE(OFFSET($R$3,0,0,'Données projet'!$E$9+1,1))-AVERAGE(OFFSET($H$3,0,0,'Données projet'!$E$9+1,1))</f>
        <v>430.41482167204606</v>
      </c>
      <c r="T147" s="62">
        <f t="shared" si="142"/>
        <v>177.02794100524551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36.659876544382875</v>
      </c>
      <c r="AA147" s="23">
        <f>EXP(-LN(2)/25)*AA146+(1-EXP(-LN(2)/25))/(LN(2)/25)*Calculateur!V147*Calculateur!X147*VLOOKUP('Données projet'!$B$9,Paramètres!$A$1:$I$89,3,0)*0.475*44/12</f>
        <v>22.620651857014156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59.280528401397035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1.2710188457276673E-13</v>
      </c>
      <c r="AK147" s="14">
        <f t="shared" si="143"/>
        <v>1.856866851063998E-12</v>
      </c>
      <c r="AL147" s="22">
        <f t="shared" si="112"/>
        <v>3.4554122145673649E-12</v>
      </c>
      <c r="AM147" s="62">
        <f t="shared" si="113"/>
        <v>293.33333333333678</v>
      </c>
      <c r="AN147" s="62">
        <f ca="1">AVERAGE(OFFSET($AM$3,0,0,'Données projet'!$E$10+1,1))-AVERAGE(OFFSET($H$3,0,0,'Données projet'!$E$10+1,1))</f>
        <v>507.43397352006832</v>
      </c>
      <c r="AO147" s="62">
        <f t="shared" si="144"/>
        <v>631.65579929520936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74.76318040494931</v>
      </c>
      <c r="AV147" s="23">
        <f>EXP(-LN(2)/25)*AV146+(1-EXP(-LN(2)/25))/(LN(2)/25)*Calculateur!AQ147*Calculateur!AS147*VLOOKUP('Données projet'!$B$10,Paramètres!$A$1:$I$89,3,0)*0.475*44/12</f>
        <v>4.811206631948858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79.574387036898173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projet'!$B$11,Paramètres!$A$1:$I$89,3,0)*VLOOKUP('Données projet'!$B$11,Paramètres!$A$1:$I$89,5,0)</f>
        <v>1.3301360013429075E-13</v>
      </c>
      <c r="BF147" s="14">
        <f t="shared" si="145"/>
        <v>1.9329766731057041E-12</v>
      </c>
      <c r="BG147" s="22">
        <f t="shared" si="115"/>
        <v>3.5982663925596575E-12</v>
      </c>
      <c r="BH147" s="62">
        <f t="shared" si="116"/>
        <v>293.3333333333369</v>
      </c>
      <c r="BI147" s="62">
        <f ca="1">AVERAGE(OFFSET($BH$3,0,0,'Données projet'!$E$11+1,1))-AVERAGE(OFFSET($H$3,0,0,'Données projet'!$E$11+1,1))</f>
        <v>357.65167206083379</v>
      </c>
      <c r="BJ147" s="62">
        <f t="shared" si="146"/>
        <v>341.23389735986342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45.916559639653116</v>
      </c>
      <c r="BQ147" s="23">
        <f>EXP(-LN(2)/25)*BQ146+(1-EXP(-LN(2)/25))/(LN(2)/25)*Calculateur!BL147*Calculateur!BN147*VLOOKUP('Données projet'!$B$11,Paramètres!$A$1:$I$89,3,0)*0.475*44/12</f>
        <v>4.2327396551295591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50.149299294782672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367</v>
      </c>
      <c r="L148" s="13">
        <f>VLOOKUP(A148,'Données projet'!$A$35:$I$55,9,0)</f>
        <v>7.4</v>
      </c>
      <c r="M148" s="13">
        <f t="array" ref="M148">INDEX(L:L,MIN(IF(ISNUMBER(L148:L344),ROW(L148:L344),"")))</f>
        <v>7.4</v>
      </c>
      <c r="N148" s="14">
        <f>IF('Données projet'!$A$36&gt;35,N147+M148-V147,IF(A148&lt;'Données projet'!$A$36,$K$205^A148,IF(A148='Données projet'!$A$36,'Données projet'!$B$36,N147+M148-V147)))</f>
        <v>366.99999999999955</v>
      </c>
      <c r="O148" s="14">
        <f>N148*VLOOKUP('Données projet'!$B$9,Paramètres!$A$1:$I$89,3,0)*VLOOKUP('Données projet'!$B$9,Paramètres!$A$1:$I$89,5,0)</f>
        <v>332.0615999999996</v>
      </c>
      <c r="P148" s="14">
        <f t="shared" si="141"/>
        <v>77.857574403309357</v>
      </c>
      <c r="Q148" s="22">
        <f t="shared" si="108"/>
        <v>713.94256208576314</v>
      </c>
      <c r="R148" s="62">
        <f t="shared" si="109"/>
        <v>1007.2758954190965</v>
      </c>
      <c r="S148" s="62">
        <f ca="1">AVERAGE(OFFSET($R$3,0,0,'Données projet'!$E$9+1,1))-AVERAGE(OFFSET($H$3,0,0,'Données projet'!$E$9+1,1))</f>
        <v>430.41482167204606</v>
      </c>
      <c r="T148" s="62">
        <f t="shared" si="142"/>
        <v>177.02794100524551</v>
      </c>
      <c r="U148" s="16">
        <f>IF(ISNA(VLOOKUP(A148,'Données projet'!$A$35:$I$55,3,0)),0,VLOOKUP(A148,'Données projet'!$A$35:$I$55,3,0))</f>
        <v>12</v>
      </c>
      <c r="V148" s="16">
        <f>IF(ISNA(VLOOKUP(A148,'Données projet'!$A$35:$I$55,4,0)),0,VLOOKUP(A148,'Données projet'!$A$35:$I$55,4,0))</f>
        <v>44</v>
      </c>
      <c r="W148" s="17">
        <f>IF(ISNA(VLOOKUP(A148,'Données projet'!$A$35:$I$55,5,0)),0%,VLOOKUP(A148,'Données projet'!$A$35:$I$55,5,0)*VLOOKUP('Données projet'!$B$9,Paramètres!$A$1:$I$89,7,0))</f>
        <v>0.215</v>
      </c>
      <c r="X148" s="17">
        <f>IF(ISNA(VLOOKUP(A148,'Données projet'!$A$35:$I$55,6,0)),0%,VLOOKUP(A148,'Données projet'!$A$35:$I$55,6,0)*VLOOKUP('Données projet'!$B$9,Paramètres!$A$1:$I$89,7,0))</f>
        <v>0.17200000000000001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45.403170736001691</v>
      </c>
      <c r="AA148" s="23">
        <f>EXP(-LN(2)/25)*AA147+(1-EXP(-LN(2)/25))/(LN(2)/25)*Calculateur!V148*Calculateur!X148*VLOOKUP('Données projet'!$B$9,Paramètres!$A$1:$I$89,3,0)*0.475*44/12</f>
        <v>29.54202160942571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74.945192345427401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1.2710188457276673E-13</v>
      </c>
      <c r="AK148" s="14">
        <f t="shared" si="143"/>
        <v>1.856866851063998E-12</v>
      </c>
      <c r="AL148" s="22">
        <f t="shared" si="112"/>
        <v>3.4554122145673649E-12</v>
      </c>
      <c r="AM148" s="62">
        <f t="shared" si="113"/>
        <v>293.33333333333678</v>
      </c>
      <c r="AN148" s="62">
        <f ca="1">AVERAGE(OFFSET($AM$3,0,0,'Données projet'!$E$10+1,1))-AVERAGE(OFFSET($H$3,0,0,'Données projet'!$E$10+1,1))</f>
        <v>507.43397352006832</v>
      </c>
      <c r="AO148" s="62">
        <f t="shared" si="144"/>
        <v>631.65579929520936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73.297120038245566</v>
      </c>
      <c r="AV148" s="23">
        <f>EXP(-LN(2)/25)*AV147+(1-EXP(-LN(2)/25))/(LN(2)/25)*Calculateur!AQ148*Calculateur!AS148*VLOOKUP('Données projet'!$B$10,Paramètres!$A$1:$I$89,3,0)*0.475*44/12</f>
        <v>4.6796439335878555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77.976763971833421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projet'!$B$11,Paramètres!$A$1:$I$89,3,0)*VLOOKUP('Données projet'!$B$11,Paramètres!$A$1:$I$89,5,0)</f>
        <v>1.3301360013429075E-13</v>
      </c>
      <c r="BF148" s="14">
        <f t="shared" si="145"/>
        <v>1.9329766731057041E-12</v>
      </c>
      <c r="BG148" s="22">
        <f t="shared" si="115"/>
        <v>3.5982663925596575E-12</v>
      </c>
      <c r="BH148" s="62">
        <f t="shared" si="116"/>
        <v>293.3333333333369</v>
      </c>
      <c r="BI148" s="62">
        <f ca="1">AVERAGE(OFFSET($BH$3,0,0,'Données projet'!$E$11+1,1))-AVERAGE(OFFSET($H$3,0,0,'Données projet'!$E$11+1,1))</f>
        <v>357.65167206083379</v>
      </c>
      <c r="BJ148" s="62">
        <f t="shared" si="146"/>
        <v>341.23389735986342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45.0161639114555</v>
      </c>
      <c r="BQ148" s="23">
        <f>EXP(-LN(2)/25)*BQ147+(1-EXP(-LN(2)/25))/(LN(2)/25)*Calculateur!BL148*Calculateur!BN148*VLOOKUP('Données projet'!$B$11,Paramètres!$A$1:$I$89,3,0)*0.475*44/12</f>
        <v>4.1169951666699367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49.133159078125438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6.1</v>
      </c>
      <c r="N149" s="14">
        <f>IF('Données projet'!$A$36&gt;35,N148+M149-V148,IF(A149&lt;'Données projet'!$A$36,$K$205^A149,IF(A149='Données projet'!$A$36,'Données projet'!$B$36,N148+M149-V148)))</f>
        <v>329.09999999999957</v>
      </c>
      <c r="O149" s="14">
        <f>N149*VLOOKUP('Données projet'!$B$9,Paramètres!$A$1:$I$89,3,0)*VLOOKUP('Données projet'!$B$9,Paramètres!$A$1:$I$89,5,0)</f>
        <v>297.7696799999996</v>
      </c>
      <c r="P149" s="14">
        <f t="shared" si="141"/>
        <v>70.708699869091816</v>
      </c>
      <c r="Q149" s="22">
        <f t="shared" si="108"/>
        <v>641.76651160533413</v>
      </c>
      <c r="R149" s="62">
        <f t="shared" si="109"/>
        <v>935.0998449386675</v>
      </c>
      <c r="S149" s="62">
        <f ca="1">AVERAGE(OFFSET($R$3,0,0,'Données projet'!$E$9+1,1))-AVERAGE(OFFSET($H$3,0,0,'Données projet'!$E$9+1,1))</f>
        <v>430.41482167204606</v>
      </c>
      <c r="T149" s="62">
        <f t="shared" si="142"/>
        <v>177.02794100524551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44.512842251068371</v>
      </c>
      <c r="AA149" s="23">
        <f>EXP(-LN(2)/25)*AA148+(1-EXP(-LN(2)/25))/(LN(2)/25)*Calculateur!V149*Calculateur!X149*VLOOKUP('Données projet'!$B$9,Paramètres!$A$1:$I$89,3,0)*0.475*44/12</f>
        <v>28.734193474968567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73.247035726036941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1.2710188457276673E-13</v>
      </c>
      <c r="AK149" s="14">
        <f t="shared" si="143"/>
        <v>1.856866851063998E-12</v>
      </c>
      <c r="AL149" s="22">
        <f t="shared" si="112"/>
        <v>3.4554122145673649E-12</v>
      </c>
      <c r="AM149" s="62">
        <f t="shared" si="113"/>
        <v>293.33333333333678</v>
      </c>
      <c r="AN149" s="62">
        <f ca="1">AVERAGE(OFFSET($AM$3,0,0,'Données projet'!$E$10+1,1))-AVERAGE(OFFSET($H$3,0,0,'Données projet'!$E$10+1,1))</f>
        <v>507.43397352006832</v>
      </c>
      <c r="AO149" s="62">
        <f t="shared" si="144"/>
        <v>631.65579929520936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71.859808221124368</v>
      </c>
      <c r="AV149" s="23">
        <f>EXP(-LN(2)/25)*AV148+(1-EXP(-LN(2)/25))/(LN(2)/25)*Calculateur!AQ149*Calculateur!AS149*VLOOKUP('Données projet'!$B$10,Paramètres!$A$1:$I$89,3,0)*0.475*44/12</f>
        <v>4.5516788241321162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76.411487045256479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projet'!$B$11,Paramètres!$A$1:$I$89,3,0)*VLOOKUP('Données projet'!$B$11,Paramètres!$A$1:$I$89,5,0)</f>
        <v>1.3301360013429075E-13</v>
      </c>
      <c r="BF149" s="14">
        <f t="shared" si="145"/>
        <v>1.9329766731057041E-12</v>
      </c>
      <c r="BG149" s="22">
        <f t="shared" si="115"/>
        <v>3.5982663925596575E-12</v>
      </c>
      <c r="BH149" s="62">
        <f t="shared" si="116"/>
        <v>293.3333333333369</v>
      </c>
      <c r="BI149" s="62">
        <f ca="1">AVERAGE(OFFSET($BH$3,0,0,'Données projet'!$E$11+1,1))-AVERAGE(OFFSET($H$3,0,0,'Données projet'!$E$11+1,1))</f>
        <v>357.65167206083379</v>
      </c>
      <c r="BJ149" s="62">
        <f t="shared" si="146"/>
        <v>341.23389735986342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44.133424394300675</v>
      </c>
      <c r="BQ149" s="23">
        <f>EXP(-LN(2)/25)*BQ148+(1-EXP(-LN(2)/25))/(LN(2)/25)*Calculateur!BL149*Calculateur!BN149*VLOOKUP('Données projet'!$B$11,Paramètres!$A$1:$I$89,3,0)*0.475*44/12</f>
        <v>4.0044157173339814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48.137840111634659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6.1</v>
      </c>
      <c r="N150" s="14">
        <f>IF('Données projet'!$A$36&gt;35,N149+M150-V149,IF(A150&lt;'Données projet'!$A$36,$K$205^A150,IF(A150='Données projet'!$A$36,'Données projet'!$B$36,N149+M150-V149)))</f>
        <v>335.19999999999959</v>
      </c>
      <c r="O150" s="14">
        <f>N150*VLOOKUP('Données projet'!$B$9,Paramètres!$A$1:$I$89,3,0)*VLOOKUP('Données projet'!$B$9,Paramètres!$A$1:$I$89,5,0)</f>
        <v>303.28895999999963</v>
      </c>
      <c r="P150" s="14">
        <f t="shared" si="141"/>
        <v>71.865517670261568</v>
      </c>
      <c r="Q150" s="22">
        <f t="shared" si="108"/>
        <v>653.39404860903824</v>
      </c>
      <c r="R150" s="62">
        <f t="shared" si="109"/>
        <v>946.72738194237149</v>
      </c>
      <c r="S150" s="62">
        <f ca="1">AVERAGE(OFFSET($R$3,0,0,'Données projet'!$E$9+1,1))-AVERAGE(OFFSET($H$3,0,0,'Données projet'!$E$9+1,1))</f>
        <v>430.41482167204606</v>
      </c>
      <c r="T150" s="62">
        <f t="shared" si="142"/>
        <v>177.02794100524551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43.639972564677841</v>
      </c>
      <c r="AA150" s="23">
        <f>EXP(-LN(2)/25)*AA149+(1-EXP(-LN(2)/25))/(LN(2)/25)*Calculateur!V150*Calculateur!X150*VLOOKUP('Données projet'!$B$9,Paramètres!$A$1:$I$89,3,0)*0.475*44/12</f>
        <v>27.948455443329991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71.588428008007838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1.2710188457276673E-13</v>
      </c>
      <c r="AK150" s="14">
        <f t="shared" si="143"/>
        <v>1.856866851063998E-12</v>
      </c>
      <c r="AL150" s="22">
        <f t="shared" si="112"/>
        <v>3.4554122145673649E-12</v>
      </c>
      <c r="AM150" s="62">
        <f t="shared" si="113"/>
        <v>293.33333333333678</v>
      </c>
      <c r="AN150" s="62">
        <f ca="1">AVERAGE(OFFSET($AM$3,0,0,'Données projet'!$E$10+1,1))-AVERAGE(OFFSET($H$3,0,0,'Données projet'!$E$10+1,1))</f>
        <v>507.43397352006832</v>
      </c>
      <c r="AO150" s="62">
        <f t="shared" si="144"/>
        <v>631.65579929520936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70.450681212063259</v>
      </c>
      <c r="AV150" s="23">
        <f>EXP(-LN(2)/25)*AV149+(1-EXP(-LN(2)/25))/(LN(2)/25)*Calculateur!AQ150*Calculateur!AS150*VLOOKUP('Données projet'!$B$10,Paramètres!$A$1:$I$89,3,0)*0.475*44/12</f>
        <v>4.4272129273238372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74.877894139387095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projet'!$B$11,Paramètres!$A$1:$I$89,3,0)*VLOOKUP('Données projet'!$B$11,Paramètres!$A$1:$I$89,5,0)</f>
        <v>1.3301360013429075E-13</v>
      </c>
      <c r="BF150" s="14">
        <f t="shared" si="145"/>
        <v>1.9329766731057041E-12</v>
      </c>
      <c r="BG150" s="22">
        <f t="shared" si="115"/>
        <v>3.5982663925596575E-12</v>
      </c>
      <c r="BH150" s="62">
        <f t="shared" si="116"/>
        <v>293.3333333333369</v>
      </c>
      <c r="BI150" s="62">
        <f ca="1">AVERAGE(OFFSET($BH$3,0,0,'Données projet'!$E$11+1,1))-AVERAGE(OFFSET($H$3,0,0,'Données projet'!$E$11+1,1))</f>
        <v>357.65167206083379</v>
      </c>
      <c r="BJ150" s="62">
        <f t="shared" si="146"/>
        <v>341.23389735986342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43.267994860659314</v>
      </c>
      <c r="BQ150" s="23">
        <f>EXP(-LN(2)/25)*BQ149+(1-EXP(-LN(2)/25))/(LN(2)/25)*Calculateur!BL150*Calculateur!BN150*VLOOKUP('Données projet'!$B$11,Paramètres!$A$1:$I$89,3,0)*0.475*44/12</f>
        <v>3.8949147589604132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47.162909619619725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6.1</v>
      </c>
      <c r="N151" s="14">
        <f>IF('Données projet'!$A$36&gt;35,N150+M151-V150,IF(A151&lt;'Données projet'!$A$36,$K$205^A151,IF(A151='Données projet'!$A$36,'Données projet'!$B$36,N150+M151-V150)))</f>
        <v>341.29999999999961</v>
      </c>
      <c r="O151" s="14">
        <f>N151*VLOOKUP('Données projet'!$B$9,Paramètres!$A$1:$I$89,3,0)*VLOOKUP('Données projet'!$B$9,Paramètres!$A$1:$I$89,5,0)</f>
        <v>308.80823999999961</v>
      </c>
      <c r="P151" s="14">
        <f t="shared" si="141"/>
        <v>73.019887483808787</v>
      </c>
      <c r="Q151" s="22">
        <f t="shared" si="108"/>
        <v>665.01732203429958</v>
      </c>
      <c r="R151" s="62">
        <f t="shared" si="109"/>
        <v>958.35065536763295</v>
      </c>
      <c r="S151" s="62">
        <f ca="1">AVERAGE(OFFSET($R$3,0,0,'Données projet'!$E$9+1,1))-AVERAGE(OFFSET($H$3,0,0,'Données projet'!$E$9+1,1))</f>
        <v>430.41482167204606</v>
      </c>
      <c r="T151" s="62">
        <f t="shared" si="142"/>
        <v>177.02794100524551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42.78421932043949</v>
      </c>
      <c r="AA151" s="23">
        <f>EXP(-LN(2)/25)*AA150+(1-EXP(-LN(2)/25))/(LN(2)/25)*Calculateur!V151*Calculateur!X151*VLOOKUP('Données projet'!$B$9,Paramètres!$A$1:$I$89,3,0)*0.475*44/12</f>
        <v>27.184203459486739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69.968422779926229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1.2710188457276673E-13</v>
      </c>
      <c r="AK151" s="14">
        <f t="shared" si="143"/>
        <v>1.856866851063998E-12</v>
      </c>
      <c r="AL151" s="22">
        <f t="shared" si="112"/>
        <v>3.4554122145673649E-12</v>
      </c>
      <c r="AM151" s="62">
        <f t="shared" si="113"/>
        <v>293.33333333333678</v>
      </c>
      <c r="AN151" s="62">
        <f ca="1">AVERAGE(OFFSET($AM$3,0,0,'Données projet'!$E$10+1,1))-AVERAGE(OFFSET($H$3,0,0,'Données projet'!$E$10+1,1))</f>
        <v>507.43397352006832</v>
      </c>
      <c r="AO151" s="62">
        <f t="shared" si="144"/>
        <v>631.65579929520936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69.069186324167234</v>
      </c>
      <c r="AV151" s="23">
        <f>EXP(-LN(2)/25)*AV150+(1-EXP(-LN(2)/25))/(LN(2)/25)*Calculateur!AQ151*Calculateur!AS151*VLOOKUP('Données projet'!$B$10,Paramètres!$A$1:$I$89,3,0)*0.475*44/12</f>
        <v>4.3061505570091576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73.375336881176395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projet'!$B$11,Paramètres!$A$1:$I$89,3,0)*VLOOKUP('Données projet'!$B$11,Paramètres!$A$1:$I$89,5,0)</f>
        <v>1.3301360013429075E-13</v>
      </c>
      <c r="BF151" s="14">
        <f t="shared" si="145"/>
        <v>1.9329766731057041E-12</v>
      </c>
      <c r="BG151" s="22">
        <f t="shared" si="115"/>
        <v>3.5982663925596575E-12</v>
      </c>
      <c r="BH151" s="62">
        <f t="shared" si="116"/>
        <v>293.3333333333369</v>
      </c>
      <c r="BI151" s="62">
        <f ca="1">AVERAGE(OFFSET($BH$3,0,0,'Données projet'!$E$11+1,1))-AVERAGE(OFFSET($H$3,0,0,'Données projet'!$E$11+1,1))</f>
        <v>357.65167206083379</v>
      </c>
      <c r="BJ151" s="62">
        <f t="shared" si="146"/>
        <v>341.23389735986342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42.419535872312771</v>
      </c>
      <c r="BQ151" s="23">
        <f>EXP(-LN(2)/25)*BQ150+(1-EXP(-LN(2)/25))/(LN(2)/25)*Calculateur!BL151*Calculateur!BN151*VLOOKUP('Données projet'!$B$11,Paramètres!$A$1:$I$89,3,0)*0.475*44/12</f>
        <v>3.7884081100519755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46.207943982364746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6.1</v>
      </c>
      <c r="N152" s="14">
        <f>IF('Données projet'!$A$36&gt;35,N151+M152-V151,IF(A152&lt;'Données projet'!$A$36,$K$205^A152,IF(A152='Données projet'!$A$36,'Données projet'!$B$36,N151+M152-V151)))</f>
        <v>347.39999999999964</v>
      </c>
      <c r="O152" s="14">
        <f>N152*VLOOKUP('Données projet'!$B$9,Paramètres!$A$1:$I$89,3,0)*VLOOKUP('Données projet'!$B$9,Paramètres!$A$1:$I$89,5,0)</f>
        <v>314.32751999999965</v>
      </c>
      <c r="P152" s="14">
        <f t="shared" si="141"/>
        <v>74.171858109476773</v>
      </c>
      <c r="Q152" s="22">
        <f t="shared" si="108"/>
        <v>676.63641687400468</v>
      </c>
      <c r="R152" s="62">
        <f t="shared" si="109"/>
        <v>969.96975020733794</v>
      </c>
      <c r="S152" s="62">
        <f ca="1">AVERAGE(OFFSET($R$3,0,0,'Données projet'!$E$9+1,1))-AVERAGE(OFFSET($H$3,0,0,'Données projet'!$E$9+1,1))</f>
        <v>430.41482167204606</v>
      </c>
      <c r="T152" s="62">
        <f t="shared" si="142"/>
        <v>177.02794100524551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41.945246875362713</v>
      </c>
      <c r="AA152" s="23">
        <f>EXP(-LN(2)/25)*AA151+(1-EXP(-LN(2)/25))/(LN(2)/25)*Calculateur!V152*Calculateur!X152*VLOOKUP('Données projet'!$B$9,Paramètres!$A$1:$I$89,3,0)*0.475*44/12</f>
        <v>26.440849986331944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68.386096861694654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1.2710188457276673E-13</v>
      </c>
      <c r="AK152" s="14">
        <f t="shared" si="143"/>
        <v>1.856866851063998E-12</v>
      </c>
      <c r="AL152" s="22">
        <f t="shared" si="112"/>
        <v>3.4554122145673649E-12</v>
      </c>
      <c r="AM152" s="62">
        <f t="shared" si="113"/>
        <v>293.33333333333678</v>
      </c>
      <c r="AN152" s="62">
        <f ca="1">AVERAGE(OFFSET($AM$3,0,0,'Données projet'!$E$10+1,1))-AVERAGE(OFFSET($H$3,0,0,'Données projet'!$E$10+1,1))</f>
        <v>507.43397352006832</v>
      </c>
      <c r="AO152" s="62">
        <f t="shared" si="144"/>
        <v>631.65579929520936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67.71478170839417</v>
      </c>
      <c r="AV152" s="23">
        <f>EXP(-LN(2)/25)*AV151+(1-EXP(-LN(2)/25))/(LN(2)/25)*Calculateur!AQ152*Calculateur!AS152*VLOOKUP('Données projet'!$B$10,Paramètres!$A$1:$I$89,3,0)*0.475*44/12</f>
        <v>4.1883986435771261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71.903180351971301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projet'!$B$11,Paramètres!$A$1:$I$89,3,0)*VLOOKUP('Données projet'!$B$11,Paramètres!$A$1:$I$89,5,0)</f>
        <v>1.3301360013429075E-13</v>
      </c>
      <c r="BF152" s="14">
        <f t="shared" si="145"/>
        <v>1.9329766731057041E-12</v>
      </c>
      <c r="BG152" s="22">
        <f t="shared" si="115"/>
        <v>3.5982663925596575E-12</v>
      </c>
      <c r="BH152" s="62">
        <f t="shared" si="116"/>
        <v>293.3333333333369</v>
      </c>
      <c r="BI152" s="62">
        <f ca="1">AVERAGE(OFFSET($BH$3,0,0,'Données projet'!$E$11+1,1))-AVERAGE(OFFSET($H$3,0,0,'Données projet'!$E$11+1,1))</f>
        <v>357.65167206083379</v>
      </c>
      <c r="BJ152" s="62">
        <f t="shared" si="146"/>
        <v>341.23389735986342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41.587714647218817</v>
      </c>
      <c r="BQ152" s="23">
        <f>EXP(-LN(2)/25)*BQ151+(1-EXP(-LN(2)/25))/(LN(2)/25)*Calculateur!BL152*Calculateur!BN152*VLOOKUP('Données projet'!$B$11,Paramètres!$A$1:$I$89,3,0)*0.475*44/12</f>
        <v>3.6848138910588801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45.272528538277697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6.1</v>
      </c>
      <c r="N153" s="14">
        <f>IF('Données projet'!$A$36&gt;35,N152+M153-V152,IF(A153&lt;'Données projet'!$A$36,$K$205^A153,IF(A153='Données projet'!$A$36,'Données projet'!$B$36,N152+M153-V152)))</f>
        <v>353.49999999999966</v>
      </c>
      <c r="O153" s="14">
        <f>N153*VLOOKUP('Données projet'!$B$9,Paramètres!$A$1:$I$89,3,0)*VLOOKUP('Données projet'!$B$9,Paramètres!$A$1:$I$89,5,0)</f>
        <v>319.84679999999969</v>
      </c>
      <c r="P153" s="14">
        <f t="shared" si="141"/>
        <v>75.321476535091989</v>
      </c>
      <c r="Q153" s="22">
        <f t="shared" si="108"/>
        <v>688.25141496528465</v>
      </c>
      <c r="R153" s="62">
        <f t="shared" si="109"/>
        <v>981.58474829861802</v>
      </c>
      <c r="S153" s="62">
        <f ca="1">AVERAGE(OFFSET($R$3,0,0,'Données projet'!$E$9+1,1))-AVERAGE(OFFSET($H$3,0,0,'Données projet'!$E$9+1,1))</f>
        <v>430.41482167204606</v>
      </c>
      <c r="T153" s="62">
        <f t="shared" si="142"/>
        <v>177.02794100524551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41.12272616821123</v>
      </c>
      <c r="AA153" s="23">
        <f>EXP(-LN(2)/25)*AA152+(1-EXP(-LN(2)/25))/(LN(2)/25)*Calculateur!V153*Calculateur!X153*VLOOKUP('Données projet'!$B$9,Paramètres!$A$1:$I$89,3,0)*0.475*44/12</f>
        <v>25.717823552991828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66.840549721203061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1.2710188457276673E-13</v>
      </c>
      <c r="AK153" s="14">
        <f t="shared" si="143"/>
        <v>1.856866851063998E-12</v>
      </c>
      <c r="AL153" s="22">
        <f t="shared" si="112"/>
        <v>3.4554122145673649E-12</v>
      </c>
      <c r="AM153" s="62">
        <f t="shared" si="113"/>
        <v>293.33333333333678</v>
      </c>
      <c r="AN153" s="62">
        <f ca="1">AVERAGE(OFFSET($AM$3,0,0,'Données projet'!$E$10+1,1))-AVERAGE(OFFSET($H$3,0,0,'Données projet'!$E$10+1,1))</f>
        <v>507.43397352006832</v>
      </c>
      <c r="AO153" s="62">
        <f t="shared" si="144"/>
        <v>631.65579929520936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66.386936141031171</v>
      </c>
      <c r="AV153" s="23">
        <f>EXP(-LN(2)/25)*AV152+(1-EXP(-LN(2)/25))/(LN(2)/25)*Calculateur!AQ153*Calculateur!AS153*VLOOKUP('Données projet'!$B$10,Paramètres!$A$1:$I$89,3,0)*0.475*44/12</f>
        <v>4.0738666624101976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70.460802803441368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projet'!$B$11,Paramètres!$A$1:$I$89,3,0)*VLOOKUP('Données projet'!$B$11,Paramètres!$A$1:$I$89,5,0)</f>
        <v>1.3301360013429075E-13</v>
      </c>
      <c r="BF153" s="14">
        <f t="shared" si="145"/>
        <v>1.9329766731057041E-12</v>
      </c>
      <c r="BG153" s="22">
        <f t="shared" si="115"/>
        <v>3.5982663925596575E-12</v>
      </c>
      <c r="BH153" s="62">
        <f t="shared" si="116"/>
        <v>293.3333333333369</v>
      </c>
      <c r="BI153" s="62">
        <f ca="1">AVERAGE(OFFSET($BH$3,0,0,'Données projet'!$E$11+1,1))-AVERAGE(OFFSET($H$3,0,0,'Données projet'!$E$11+1,1))</f>
        <v>357.65167206083379</v>
      </c>
      <c r="BJ153" s="62">
        <f t="shared" si="146"/>
        <v>341.23389735986342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40.77220492898811</v>
      </c>
      <c r="BQ153" s="23">
        <f>EXP(-LN(2)/25)*BQ152+(1-EXP(-LN(2)/25))/(LN(2)/25)*Calculateur!BL153*Calculateur!BN153*VLOOKUP('Données projet'!$B$11,Paramètres!$A$1:$I$89,3,0)*0.475*44/12</f>
        <v>3.5840524614319342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44.356257390420041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6.1</v>
      </c>
      <c r="N154" s="14">
        <f>IF('Données projet'!$A$36&gt;35,N153+M154-V153,IF(A154&lt;'Données projet'!$A$36,$K$205^A154,IF(A154='Données projet'!$A$36,'Données projet'!$B$36,N153+M154-V153)))</f>
        <v>359.59999999999968</v>
      </c>
      <c r="O154" s="14">
        <f>N154*VLOOKUP('Données projet'!$B$9,Paramètres!$A$1:$I$89,3,0)*VLOOKUP('Données projet'!$B$9,Paramètres!$A$1:$I$89,5,0)</f>
        <v>325.36607999999973</v>
      </c>
      <c r="P154" s="14">
        <f t="shared" si="141"/>
        <v>76.468788033923701</v>
      </c>
      <c r="Q154" s="22">
        <f t="shared" ref="Q154:Q203" si="162">(O154+P154)*0.475*44/12</f>
        <v>699.86239515908335</v>
      </c>
      <c r="R154" s="62">
        <f t="shared" si="109"/>
        <v>993.19572849241672</v>
      </c>
      <c r="S154" s="62">
        <f ca="1">AVERAGE(OFFSET($R$3,0,0,'Données projet'!$E$9+1,1))-AVERAGE(OFFSET($H$3,0,0,'Données projet'!$E$9+1,1))</f>
        <v>430.41482167204606</v>
      </c>
      <c r="T154" s="62">
        <f t="shared" si="142"/>
        <v>177.02794100524551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40.316334590438892</v>
      </c>
      <c r="AA154" s="23">
        <f>EXP(-LN(2)/25)*AA153+(1-EXP(-LN(2)/25))/(LN(2)/25)*Calculateur!V154*Calculateur!X154*VLOOKUP('Données projet'!$B$9,Paramètres!$A$1:$I$89,3,0)*0.475*44/12</f>
        <v>25.014568315493705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65.330902905932589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1.2710188457276673E-13</v>
      </c>
      <c r="AK154" s="14">
        <f t="shared" ref="AK154:AK203" si="164">EXP(-1.0587+0.8836*LN(AJ154)+0.284)</f>
        <v>1.856866851063998E-12</v>
      </c>
      <c r="AL154" s="22">
        <f t="shared" ref="AL154:AL203" si="165">(AJ154+AK154)*0.475*44/12</f>
        <v>3.4554122145673649E-12</v>
      </c>
      <c r="AM154" s="62">
        <f t="shared" si="113"/>
        <v>293.33333333333678</v>
      </c>
      <c r="AN154" s="62">
        <f ca="1">AVERAGE(OFFSET($AM$3,0,0,'Données projet'!$E$10+1,1))-AVERAGE(OFFSET($H$3,0,0,'Données projet'!$E$10+1,1))</f>
        <v>507.43397352006832</v>
      </c>
      <c r="AO154" s="62">
        <f t="shared" si="144"/>
        <v>631.65579929520936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65.085128815338336</v>
      </c>
      <c r="AV154" s="23">
        <f>EXP(-LN(2)/25)*AV153+(1-EXP(-LN(2)/25))/(LN(2)/25)*Calculateur!AQ154*Calculateur!AS154*VLOOKUP('Données projet'!$B$10,Paramètres!$A$1:$I$89,3,0)*0.475*44/12</f>
        <v>3.9624665642912538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69.047595379629584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projet'!$B$11,Paramètres!$A$1:$I$89,3,0)*VLOOKUP('Données projet'!$B$11,Paramètres!$A$1:$I$89,5,0)</f>
        <v>1.3301360013429075E-13</v>
      </c>
      <c r="BF154" s="14">
        <f t="shared" ref="BF154:BF203" si="167">EXP(-1.0587+0.8836*LN(BE154)+0.284)</f>
        <v>1.9329766731057041E-12</v>
      </c>
      <c r="BG154" s="22">
        <f t="shared" ref="BG154:BG203" si="168">(BE154+BF154)*0.475*44/12</f>
        <v>3.5982663925596575E-12</v>
      </c>
      <c r="BH154" s="62">
        <f t="shared" si="116"/>
        <v>293.3333333333369</v>
      </c>
      <c r="BI154" s="62">
        <f ca="1">AVERAGE(OFFSET($BH$3,0,0,'Données projet'!$E$11+1,1))-AVERAGE(OFFSET($H$3,0,0,'Données projet'!$E$11+1,1))</f>
        <v>357.65167206083379</v>
      </c>
      <c r="BJ154" s="62">
        <f t="shared" si="146"/>
        <v>341.23389735986342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39.972686858920092</v>
      </c>
      <c r="BQ154" s="23">
        <f>EXP(-LN(2)/25)*BQ153+(1-EXP(-LN(2)/25))/(LN(2)/25)*Calculateur!BL154*Calculateur!BN154*VLOOKUP('Données projet'!$B$11,Paramètres!$A$1:$I$89,3,0)*0.475*44/12</f>
        <v>3.4860463583969503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43.45873321731704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6.1</v>
      </c>
      <c r="N155" s="14">
        <f>IF('Données projet'!$A$36&gt;35,N154+M155-V154,IF(A155&lt;'Données projet'!$A$36,$K$205^A155,IF(A155='Données projet'!$A$36,'Données projet'!$B$36,N154+M155-V154)))</f>
        <v>365.6999999999997</v>
      </c>
      <c r="O155" s="14">
        <f>N155*VLOOKUP('Données projet'!$B$9,Paramètres!$A$1:$I$89,3,0)*VLOOKUP('Données projet'!$B$9,Paramètres!$A$1:$I$89,5,0)</f>
        <v>330.88535999999976</v>
      </c>
      <c r="P155" s="14">
        <f t="shared" si="141"/>
        <v>77.613836255251215</v>
      </c>
      <c r="Q155" s="22">
        <f t="shared" si="162"/>
        <v>711.46943347789545</v>
      </c>
      <c r="R155" s="62">
        <f t="shared" si="109"/>
        <v>1004.8027668112288</v>
      </c>
      <c r="S155" s="62">
        <f ca="1">AVERAGE(OFFSET($R$3,0,0,'Données projet'!$E$9+1,1))-AVERAGE(OFFSET($H$3,0,0,'Données projet'!$E$9+1,1))</f>
        <v>430.41482167204606</v>
      </c>
      <c r="T155" s="62">
        <f t="shared" si="142"/>
        <v>177.02794100524551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39.525755859656371</v>
      </c>
      <c r="AA155" s="23">
        <f>EXP(-LN(2)/25)*AA154+(1-EXP(-LN(2)/25))/(LN(2)/25)*Calculateur!V155*Calculateur!X155*VLOOKUP('Données projet'!$B$9,Paramètres!$A$1:$I$89,3,0)*0.475*44/12</f>
        <v>24.330543629447554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63.856299489103925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1.2710188457276673E-13</v>
      </c>
      <c r="AK155" s="14">
        <f t="shared" si="164"/>
        <v>1.856866851063998E-12</v>
      </c>
      <c r="AL155" s="22">
        <f t="shared" si="165"/>
        <v>3.4554122145673649E-12</v>
      </c>
      <c r="AM155" s="62">
        <f t="shared" si="113"/>
        <v>293.33333333333678</v>
      </c>
      <c r="AN155" s="62">
        <f ca="1">AVERAGE(OFFSET($AM$3,0,0,'Données projet'!$E$10+1,1))-AVERAGE(OFFSET($H$3,0,0,'Données projet'!$E$10+1,1))</f>
        <v>507.43397352006832</v>
      </c>
      <c r="AO155" s="62">
        <f t="shared" si="144"/>
        <v>631.65579929520936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63.80884913727828</v>
      </c>
      <c r="AV155" s="23">
        <f>EXP(-LN(2)/25)*AV154+(1-EXP(-LN(2)/25))/(LN(2)/25)*Calculateur!AQ155*Calculateur!AS155*VLOOKUP('Données projet'!$B$10,Paramètres!$A$1:$I$89,3,0)*0.475*44/12</f>
        <v>3.8541127077136492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67.662961844991926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projet'!$B$11,Paramètres!$A$1:$I$89,3,0)*VLOOKUP('Données projet'!$B$11,Paramètres!$A$1:$I$89,5,0)</f>
        <v>1.3301360013429075E-13</v>
      </c>
      <c r="BF155" s="14">
        <f t="shared" si="167"/>
        <v>1.9329766731057041E-12</v>
      </c>
      <c r="BG155" s="22">
        <f t="shared" si="168"/>
        <v>3.5982663925596575E-12</v>
      </c>
      <c r="BH155" s="62">
        <f t="shared" si="116"/>
        <v>293.3333333333369</v>
      </c>
      <c r="BI155" s="62">
        <f ca="1">AVERAGE(OFFSET($BH$3,0,0,'Données projet'!$E$11+1,1))-AVERAGE(OFFSET($H$3,0,0,'Données projet'!$E$11+1,1))</f>
        <v>357.65167206083379</v>
      </c>
      <c r="BJ155" s="62">
        <f t="shared" si="146"/>
        <v>341.23389735986342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39.188846850548238</v>
      </c>
      <c r="BQ155" s="23">
        <f>EXP(-LN(2)/25)*BQ154+(1-EXP(-LN(2)/25))/(LN(2)/25)*Calculateur!BL155*Calculateur!BN155*VLOOKUP('Données projet'!$B$11,Paramètres!$A$1:$I$89,3,0)*0.475*44/12</f>
        <v>3.3907202374033751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42.579567087951617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6.1</v>
      </c>
      <c r="N156" s="14">
        <f>IF('Données projet'!$A$36&gt;35,N155+M156-V155,IF(A156&lt;'Données projet'!$A$36,$K$205^A156,IF(A156='Données projet'!$A$36,'Données projet'!$B$36,N155+M156-V155)))</f>
        <v>371.79999999999973</v>
      </c>
      <c r="O156" s="14">
        <f>N156*VLOOKUP('Données projet'!$B$9,Paramètres!$A$1:$I$89,3,0)*VLOOKUP('Données projet'!$B$9,Paramètres!$A$1:$I$89,5,0)</f>
        <v>336.40463999999974</v>
      </c>
      <c r="P156" s="14">
        <f t="shared" si="141"/>
        <v>78.756663308716668</v>
      </c>
      <c r="Q156" s="22">
        <f t="shared" si="162"/>
        <v>723.07260326268113</v>
      </c>
      <c r="R156" s="62">
        <f t="shared" si="109"/>
        <v>1016.4059365960145</v>
      </c>
      <c r="S156" s="62">
        <f ca="1">AVERAGE(OFFSET($R$3,0,0,'Données projet'!$E$9+1,1))-AVERAGE(OFFSET($H$3,0,0,'Données projet'!$E$9+1,1))</f>
        <v>430.41482167204606</v>
      </c>
      <c r="T156" s="62">
        <f t="shared" si="142"/>
        <v>177.02794100524551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38.750679895579083</v>
      </c>
      <c r="AA156" s="23">
        <f>EXP(-LN(2)/25)*AA155+(1-EXP(-LN(2)/25))/(LN(2)/25)*Calculateur!V156*Calculateur!X156*VLOOKUP('Données projet'!$B$9,Paramètres!$A$1:$I$89,3,0)*0.475*44/12</f>
        <v>23.66522363441263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62.415903529991709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1.2710188457276673E-13</v>
      </c>
      <c r="AK156" s="14">
        <f t="shared" si="164"/>
        <v>1.856866851063998E-12</v>
      </c>
      <c r="AL156" s="22">
        <f t="shared" si="165"/>
        <v>3.4554122145673649E-12</v>
      </c>
      <c r="AM156" s="62">
        <f t="shared" si="113"/>
        <v>293.33333333333678</v>
      </c>
      <c r="AN156" s="62">
        <f ca="1">AVERAGE(OFFSET($AM$3,0,0,'Données projet'!$E$10+1,1))-AVERAGE(OFFSET($H$3,0,0,'Données projet'!$E$10+1,1))</f>
        <v>507.43397352006832</v>
      </c>
      <c r="AO156" s="62">
        <f t="shared" si="144"/>
        <v>631.65579929520936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62.557596525251242</v>
      </c>
      <c r="AV156" s="23">
        <f>EXP(-LN(2)/25)*AV155+(1-EXP(-LN(2)/25))/(LN(2)/25)*Calculateur!AQ156*Calculateur!AS156*VLOOKUP('Données projet'!$B$10,Paramètres!$A$1:$I$89,3,0)*0.475*44/12</f>
        <v>3.748721793042241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66.306318318293478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projet'!$B$11,Paramètres!$A$1:$I$89,3,0)*VLOOKUP('Données projet'!$B$11,Paramètres!$A$1:$I$89,5,0)</f>
        <v>1.3301360013429075E-13</v>
      </c>
      <c r="BF156" s="14">
        <f t="shared" si="167"/>
        <v>1.9329766731057041E-12</v>
      </c>
      <c r="BG156" s="22">
        <f t="shared" si="168"/>
        <v>3.5982663925596575E-12</v>
      </c>
      <c r="BH156" s="62">
        <f t="shared" si="116"/>
        <v>293.3333333333369</v>
      </c>
      <c r="BI156" s="62">
        <f ca="1">AVERAGE(OFFSET($BH$3,0,0,'Données projet'!$E$11+1,1))-AVERAGE(OFFSET($H$3,0,0,'Données projet'!$E$11+1,1))</f>
        <v>357.65167206083379</v>
      </c>
      <c r="BJ156" s="62">
        <f t="shared" si="146"/>
        <v>341.23389735986342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38.420377466645355</v>
      </c>
      <c r="BQ156" s="23">
        <f>EXP(-LN(2)/25)*BQ155+(1-EXP(-LN(2)/25))/(LN(2)/25)*Calculateur!BL156*Calculateur!BN156*VLOOKUP('Données projet'!$B$11,Paramètres!$A$1:$I$89,3,0)*0.475*44/12</f>
        <v>3.2980008142013522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41.718378280846707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6.1</v>
      </c>
      <c r="N157" s="14">
        <f>IF('Données projet'!$A$36&gt;35,N156+M157-V156,IF(A157&lt;'Données projet'!$A$36,$K$205^A157,IF(A157='Données projet'!$A$36,'Données projet'!$B$36,N156+M157-V156)))</f>
        <v>377.89999999999975</v>
      </c>
      <c r="O157" s="14">
        <f>N157*VLOOKUP('Données projet'!$B$9,Paramètres!$A$1:$I$89,3,0)*VLOOKUP('Données projet'!$B$9,Paramètres!$A$1:$I$89,5,0)</f>
        <v>341.92391999999978</v>
      </c>
      <c r="P157" s="14">
        <f t="shared" si="141"/>
        <v>79.897309842985493</v>
      </c>
      <c r="Q157" s="22">
        <f t="shared" si="162"/>
        <v>734.67197530986607</v>
      </c>
      <c r="R157" s="62">
        <f t="shared" si="109"/>
        <v>1028.0053086431994</v>
      </c>
      <c r="S157" s="62">
        <f ca="1">AVERAGE(OFFSET($R$3,0,0,'Données projet'!$E$9+1,1))-AVERAGE(OFFSET($H$3,0,0,'Données projet'!$E$9+1,1))</f>
        <v>430.41482167204606</v>
      </c>
      <c r="T157" s="62">
        <f t="shared" si="142"/>
        <v>177.02794100524551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37.990802698407691</v>
      </c>
      <c r="AA157" s="23">
        <f>EXP(-LN(2)/25)*AA156+(1-EXP(-LN(2)/25))/(LN(2)/25)*Calculateur!V157*Calculateur!X157*VLOOKUP('Données projet'!$B$9,Paramètres!$A$1:$I$89,3,0)*0.475*44/12</f>
        <v>23.018096849629593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61.008899548037284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1.2710188457276673E-13</v>
      </c>
      <c r="AK157" s="14">
        <f t="shared" si="164"/>
        <v>1.856866851063998E-12</v>
      </c>
      <c r="AL157" s="22">
        <f t="shared" si="165"/>
        <v>3.4554122145673649E-12</v>
      </c>
      <c r="AM157" s="62">
        <f t="shared" si="113"/>
        <v>293.33333333333678</v>
      </c>
      <c r="AN157" s="62">
        <f ca="1">AVERAGE(OFFSET($AM$3,0,0,'Données projet'!$E$10+1,1))-AVERAGE(OFFSET($H$3,0,0,'Données projet'!$E$10+1,1))</f>
        <v>507.43397352006832</v>
      </c>
      <c r="AO157" s="62">
        <f t="shared" si="144"/>
        <v>631.65579929520936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61.330880213757318</v>
      </c>
      <c r="AV157" s="23">
        <f>EXP(-LN(2)/25)*AV156+(1-EXP(-LN(2)/25))/(LN(2)/25)*Calculateur!AQ157*Calculateur!AS157*VLOOKUP('Données projet'!$B$10,Paramètres!$A$1:$I$89,3,0)*0.475*44/12</f>
        <v>3.6462127984747896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64.977093012232103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projet'!$B$11,Paramètres!$A$1:$I$89,3,0)*VLOOKUP('Données projet'!$B$11,Paramètres!$A$1:$I$89,5,0)</f>
        <v>1.3301360013429075E-13</v>
      </c>
      <c r="BF157" s="14">
        <f t="shared" si="167"/>
        <v>1.9329766731057041E-12</v>
      </c>
      <c r="BG157" s="22">
        <f t="shared" si="168"/>
        <v>3.5982663925596575E-12</v>
      </c>
      <c r="BH157" s="62">
        <f t="shared" si="116"/>
        <v>293.3333333333369</v>
      </c>
      <c r="BI157" s="62">
        <f ca="1">AVERAGE(OFFSET($BH$3,0,0,'Données projet'!$E$11+1,1))-AVERAGE(OFFSET($H$3,0,0,'Données projet'!$E$11+1,1))</f>
        <v>357.65167206083379</v>
      </c>
      <c r="BJ157" s="62">
        <f t="shared" si="146"/>
        <v>341.23389735986342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37.666977298640766</v>
      </c>
      <c r="BQ157" s="23">
        <f>EXP(-LN(2)/25)*BQ156+(1-EXP(-LN(2)/25))/(LN(2)/25)*Calculateur!BL157*Calculateur!BN157*VLOOKUP('Données projet'!$B$11,Paramètres!$A$1:$I$89,3,0)*0.475*44/12</f>
        <v>3.2078168085026912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40.874794107143458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>
        <f>VLOOKUP(A158,'Données projet'!$A$35:$I$55,2,0)</f>
        <v>384</v>
      </c>
      <c r="L158" s="13">
        <f>VLOOKUP(A158,'Données projet'!$A$35:$I$55,9,0)</f>
        <v>6.1</v>
      </c>
      <c r="M158" s="13">
        <f t="array" ref="M158">INDEX(L:L,MIN(IF(ISNUMBER(L158:L354),ROW(L158:L354),"")))</f>
        <v>6.1</v>
      </c>
      <c r="N158" s="14">
        <f>IF('Données projet'!$A$36&gt;35,N157+M158-V157,IF(A158&lt;'Données projet'!$A$36,$K$205^A158,IF(A158='Données projet'!$A$36,'Données projet'!$B$36,N157+M158-V157)))</f>
        <v>383.99999999999977</v>
      </c>
      <c r="O158" s="14">
        <f>N158*VLOOKUP('Données projet'!$B$9,Paramètres!$A$1:$I$89,3,0)*VLOOKUP('Données projet'!$B$9,Paramètres!$A$1:$I$89,5,0)</f>
        <v>347.44319999999976</v>
      </c>
      <c r="P158" s="14">
        <f t="shared" si="141"/>
        <v>81.035815119183155</v>
      </c>
      <c r="Q158" s="22">
        <f t="shared" si="162"/>
        <v>746.26761799924361</v>
      </c>
      <c r="R158" s="62">
        <f t="shared" si="109"/>
        <v>1039.6009513325769</v>
      </c>
      <c r="S158" s="62">
        <f ca="1">AVERAGE(OFFSET($R$3,0,0,'Données projet'!$E$9+1,1))-AVERAGE(OFFSET($H$3,0,0,'Données projet'!$E$9+1,1))</f>
        <v>430.41482167204606</v>
      </c>
      <c r="T158" s="62">
        <f t="shared" si="142"/>
        <v>177.02794100524551</v>
      </c>
      <c r="U158" s="16">
        <f>IF(ISNA(VLOOKUP(A158,'Données projet'!$A$35:$I$55,3,0)),0,VLOOKUP(A158,'Données projet'!$A$35:$I$55,3,0))</f>
        <v>13</v>
      </c>
      <c r="V158" s="16">
        <f>IF(ISNA(VLOOKUP(A158,'Données projet'!$A$35:$I$55,4,0)),0,VLOOKUP(A158,'Données projet'!$A$35:$I$55,4,0))</f>
        <v>51</v>
      </c>
      <c r="W158" s="17">
        <f>IF(ISNA(VLOOKUP(A158,'Données projet'!$A$35:$I$55,5,0)),0%,VLOOKUP(A158,'Données projet'!$A$35:$I$55,5,0)*VLOOKUP('Données projet'!$B$9,Paramètres!$A$1:$I$89,7,0))</f>
        <v>0.215</v>
      </c>
      <c r="X158" s="17">
        <f>IF(ISNA(VLOOKUP(A158,'Données projet'!$A$35:$I$55,6,0)),0%,VLOOKUP(A158,'Données projet'!$A$35:$I$55,6,0)*VLOOKUP('Données projet'!$B$9,Paramètres!$A$1:$I$89,7,0))</f>
        <v>0.17200000000000001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48.213343787029999</v>
      </c>
      <c r="AA158" s="23">
        <f>EXP(-LN(2)/25)*AA157+(1-EXP(-LN(2)/25))/(LN(2)/25)*Calculateur!V158*Calculateur!X158*VLOOKUP('Données projet'!$B$9,Paramètres!$A$1:$I$89,3,0)*0.475*44/12</f>
        <v>31.128133190296214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79.341476977326209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1.2710188457276673E-13</v>
      </c>
      <c r="AK158" s="14">
        <f t="shared" si="164"/>
        <v>1.856866851063998E-12</v>
      </c>
      <c r="AL158" s="22">
        <f t="shared" si="165"/>
        <v>3.4554122145673649E-12</v>
      </c>
      <c r="AM158" s="62">
        <f t="shared" si="113"/>
        <v>293.33333333333678</v>
      </c>
      <c r="AN158" s="62">
        <f ca="1">AVERAGE(OFFSET($AM$3,0,0,'Données projet'!$E$10+1,1))-AVERAGE(OFFSET($H$3,0,0,'Données projet'!$E$10+1,1))</f>
        <v>507.43397352006832</v>
      </c>
      <c r="AO158" s="62">
        <f t="shared" si="144"/>
        <v>631.65579929520936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60.128219060908719</v>
      </c>
      <c r="AV158" s="23">
        <f>EXP(-LN(2)/25)*AV157+(1-EXP(-LN(2)/25))/(LN(2)/25)*Calculateur!AQ158*Calculateur!AS158*VLOOKUP('Données projet'!$B$10,Paramètres!$A$1:$I$89,3,0)*0.475*44/12</f>
        <v>3.546506917754499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63.674725978663218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projet'!$B$11,Paramètres!$A$1:$I$89,3,0)*VLOOKUP('Données projet'!$B$11,Paramètres!$A$1:$I$89,5,0)</f>
        <v>1.3301360013429075E-13</v>
      </c>
      <c r="BF158" s="14">
        <f t="shared" si="167"/>
        <v>1.9329766731057041E-12</v>
      </c>
      <c r="BG158" s="22">
        <f t="shared" si="168"/>
        <v>3.5982663925596575E-12</v>
      </c>
      <c r="BH158" s="62">
        <f t="shared" si="116"/>
        <v>293.3333333333369</v>
      </c>
      <c r="BI158" s="62">
        <f ca="1">AVERAGE(OFFSET($BH$3,0,0,'Données projet'!$E$11+1,1))-AVERAGE(OFFSET($H$3,0,0,'Données projet'!$E$11+1,1))</f>
        <v>357.65167206083379</v>
      </c>
      <c r="BJ158" s="62">
        <f t="shared" si="146"/>
        <v>341.23389735986342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36.928350848402019</v>
      </c>
      <c r="BQ158" s="23">
        <f>EXP(-LN(2)/25)*BQ157+(1-EXP(-LN(2)/25))/(LN(2)/25)*Calculateur!BL158*Calculateur!BN158*VLOOKUP('Données projet'!$B$11,Paramètres!$A$1:$I$89,3,0)*0.475*44/12</f>
        <v>3.1200988891824308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40.048449737584448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7.4</v>
      </c>
      <c r="N159" s="14">
        <f>IF('Données projet'!$A$36&gt;35,N158+M159-V158,IF(A159&lt;'Données projet'!$A$36,$K$205^A159,IF(A159='Données projet'!$A$36,'Données projet'!$B$36,N158+M159-V158)))</f>
        <v>340.39999999999975</v>
      </c>
      <c r="O159" s="14">
        <f>N159*VLOOKUP('Données projet'!$B$9,Paramètres!$A$1:$I$89,3,0)*VLOOKUP('Données projet'!$B$9,Paramètres!$A$1:$I$89,5,0)</f>
        <v>307.99391999999978</v>
      </c>
      <c r="P159" s="14">
        <f t="shared" si="141"/>
        <v>72.849722655374066</v>
      </c>
      <c r="Q159" s="22">
        <f t="shared" si="162"/>
        <v>663.30267762477615</v>
      </c>
      <c r="R159" s="62">
        <f t="shared" si="109"/>
        <v>956.63601095810941</v>
      </c>
      <c r="S159" s="62">
        <f ca="1">AVERAGE(OFFSET($R$3,0,0,'Données projet'!$E$9+1,1))-AVERAGE(OFFSET($H$3,0,0,'Données projet'!$E$9+1,1))</f>
        <v>430.41482167204606</v>
      </c>
      <c r="T159" s="62">
        <f t="shared" si="142"/>
        <v>177.02794100524551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47.267909522602324</v>
      </c>
      <c r="AA159" s="23">
        <f>EXP(-LN(2)/25)*AA158+(1-EXP(-LN(2)/25))/(LN(2)/25)*Calculateur!V159*Calculateur!X159*VLOOKUP('Données projet'!$B$9,Paramètres!$A$1:$I$89,3,0)*0.475*44/12</f>
        <v>30.276932751250186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77.54484227385251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1.2710188457276673E-13</v>
      </c>
      <c r="AK159" s="14">
        <f t="shared" si="164"/>
        <v>1.856866851063998E-12</v>
      </c>
      <c r="AL159" s="22">
        <f t="shared" si="165"/>
        <v>3.4554122145673649E-12</v>
      </c>
      <c r="AM159" s="62">
        <f t="shared" si="113"/>
        <v>293.33333333333678</v>
      </c>
      <c r="AN159" s="62">
        <f ca="1">AVERAGE(OFFSET($AM$3,0,0,'Données projet'!$E$10+1,1))-AVERAGE(OFFSET($H$3,0,0,'Données projet'!$E$10+1,1))</f>
        <v>507.43397352006832</v>
      </c>
      <c r="AO159" s="62">
        <f t="shared" si="144"/>
        <v>631.65579929520936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58.949141359716613</v>
      </c>
      <c r="AV159" s="23">
        <f>EXP(-LN(2)/25)*AV158+(1-EXP(-LN(2)/25))/(LN(2)/25)*Calculateur!AQ159*Calculateur!AS159*VLOOKUP('Données projet'!$B$10,Paramètres!$A$1:$I$89,3,0)*0.475*44/12</f>
        <v>3.449527499585809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62.398668859302418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projet'!$B$11,Paramètres!$A$1:$I$89,3,0)*VLOOKUP('Données projet'!$B$11,Paramètres!$A$1:$I$89,5,0)</f>
        <v>1.3301360013429075E-13</v>
      </c>
      <c r="BF159" s="14">
        <f t="shared" si="167"/>
        <v>1.9329766731057041E-12</v>
      </c>
      <c r="BG159" s="22">
        <f t="shared" si="168"/>
        <v>3.5982663925596575E-12</v>
      </c>
      <c r="BH159" s="62">
        <f t="shared" si="116"/>
        <v>293.3333333333369</v>
      </c>
      <c r="BI159" s="62">
        <f ca="1">AVERAGE(OFFSET($BH$3,0,0,'Données projet'!$E$11+1,1))-AVERAGE(OFFSET($H$3,0,0,'Données projet'!$E$11+1,1))</f>
        <v>357.65167206083379</v>
      </c>
      <c r="BJ159" s="62">
        <f t="shared" si="146"/>
        <v>341.23389735986342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36.204208412334808</v>
      </c>
      <c r="BQ159" s="23">
        <f>EXP(-LN(2)/25)*BQ158+(1-EXP(-LN(2)/25))/(LN(2)/25)*Calculateur!BL159*Calculateur!BN159*VLOOKUP('Données projet'!$B$11,Paramètres!$A$1:$I$89,3,0)*0.475*44/12</f>
        <v>3.0347796209788678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39.238988033313674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7.4</v>
      </c>
      <c r="N160" s="14">
        <f>IF('Données projet'!$A$36&gt;35,N159+M160-V159,IF(A160&lt;'Données projet'!$A$36,$K$205^A160,IF(A160='Données projet'!$A$36,'Données projet'!$B$36,N159+M160-V159)))</f>
        <v>347.79999999999973</v>
      </c>
      <c r="O160" s="14">
        <f>N160*VLOOKUP('Données projet'!$B$9,Paramètres!$A$1:$I$89,3,0)*VLOOKUP('Données projet'!$B$9,Paramètres!$A$1:$I$89,5,0)</f>
        <v>314.68943999999971</v>
      </c>
      <c r="P160" s="14">
        <f t="shared" si="141"/>
        <v>74.247314486967696</v>
      </c>
      <c r="Q160" s="22">
        <f t="shared" si="162"/>
        <v>677.39818073146819</v>
      </c>
      <c r="R160" s="62">
        <f t="shared" si="109"/>
        <v>970.73151406480156</v>
      </c>
      <c r="S160" s="62">
        <f ca="1">AVERAGE(OFFSET($R$3,0,0,'Données projet'!$E$9+1,1))-AVERAGE(OFFSET($H$3,0,0,'Données projet'!$E$9+1,1))</f>
        <v>430.41482167204606</v>
      </c>
      <c r="T160" s="62">
        <f t="shared" si="142"/>
        <v>177.02794100524551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46.341014647442115</v>
      </c>
      <c r="AA160" s="23">
        <f>EXP(-LN(2)/25)*AA159+(1-EXP(-LN(2)/25))/(LN(2)/25)*Calculateur!V160*Calculateur!X160*VLOOKUP('Données projet'!$B$9,Paramètres!$A$1:$I$89,3,0)*0.475*44/12</f>
        <v>29.449008432972555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75.79002308041467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1.2710188457276673E-13</v>
      </c>
      <c r="AK160" s="14">
        <f t="shared" si="164"/>
        <v>1.856866851063998E-12</v>
      </c>
      <c r="AL160" s="22">
        <f t="shared" si="165"/>
        <v>3.4554122145673649E-12</v>
      </c>
      <c r="AM160" s="62">
        <f t="shared" si="113"/>
        <v>293.33333333333678</v>
      </c>
      <c r="AN160" s="62">
        <f ca="1">AVERAGE(OFFSET($AM$3,0,0,'Données projet'!$E$10+1,1))-AVERAGE(OFFSET($H$3,0,0,'Données projet'!$E$10+1,1))</f>
        <v>507.43397352006832</v>
      </c>
      <c r="AO160" s="62">
        <f t="shared" si="144"/>
        <v>631.65579929520936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57.793184653078498</v>
      </c>
      <c r="AV160" s="23">
        <f>EXP(-LN(2)/25)*AV159+(1-EXP(-LN(2)/25))/(LN(2)/25)*Calculateur!AQ160*Calculateur!AS160*VLOOKUP('Données projet'!$B$10,Paramètres!$A$1:$I$89,3,0)*0.475*44/12</f>
        <v>3.3551999887068678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61.148384641785363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projet'!$B$11,Paramètres!$A$1:$I$89,3,0)*VLOOKUP('Données projet'!$B$11,Paramètres!$A$1:$I$89,5,0)</f>
        <v>1.3301360013429075E-13</v>
      </c>
      <c r="BF160" s="14">
        <f t="shared" si="167"/>
        <v>1.9329766731057041E-12</v>
      </c>
      <c r="BG160" s="22">
        <f t="shared" si="168"/>
        <v>3.5982663925596575E-12</v>
      </c>
      <c r="BH160" s="62">
        <f t="shared" si="116"/>
        <v>293.3333333333369</v>
      </c>
      <c r="BI160" s="62">
        <f ca="1">AVERAGE(OFFSET($BH$3,0,0,'Données projet'!$E$11+1,1))-AVERAGE(OFFSET($H$3,0,0,'Données projet'!$E$11+1,1))</f>
        <v>357.65167206083379</v>
      </c>
      <c r="BJ160" s="62">
        <f t="shared" si="146"/>
        <v>341.23389735986342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35.494265967755602</v>
      </c>
      <c r="BQ160" s="23">
        <f>EXP(-LN(2)/25)*BQ159+(1-EXP(-LN(2)/25))/(LN(2)/25)*Calculateur!BL160*Calculateur!BN160*VLOOKUP('Données projet'!$B$11,Paramètres!$A$1:$I$89,3,0)*0.475*44/12</f>
        <v>2.9517934126510763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38.44605938040668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7.4</v>
      </c>
      <c r="N161" s="14">
        <f>IF('Données projet'!$A$36&gt;35,N160+M161-V160,IF(A161&lt;'Données projet'!$A$36,$K$205^A161,IF(A161='Données projet'!$A$36,'Données projet'!$B$36,N160+M161-V160)))</f>
        <v>355.1999999999997</v>
      </c>
      <c r="O161" s="14">
        <f>N161*VLOOKUP('Données projet'!$B$9,Paramètres!$A$1:$I$89,3,0)*VLOOKUP('Données projet'!$B$9,Paramètres!$A$1:$I$89,5,0)</f>
        <v>321.38495999999975</v>
      </c>
      <c r="P161" s="14">
        <f t="shared" si="141"/>
        <v>75.641449055408941</v>
      </c>
      <c r="Q161" s="22">
        <f t="shared" si="162"/>
        <v>691.4876624381701</v>
      </c>
      <c r="R161" s="62">
        <f t="shared" si="109"/>
        <v>984.82099577150348</v>
      </c>
      <c r="S161" s="62">
        <f ca="1">AVERAGE(OFFSET($R$3,0,0,'Données projet'!$E$9+1,1))-AVERAGE(OFFSET($H$3,0,0,'Données projet'!$E$9+1,1))</f>
        <v>430.41482167204606</v>
      </c>
      <c r="T161" s="62">
        <f t="shared" si="142"/>
        <v>177.02794100524551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45.432295615433752</v>
      </c>
      <c r="AA161" s="23">
        <f>EXP(-LN(2)/25)*AA160+(1-EXP(-LN(2)/25))/(LN(2)/25)*Calculateur!V161*Calculateur!X161*VLOOKUP('Données projet'!$B$9,Paramètres!$A$1:$I$89,3,0)*0.475*44/12</f>
        <v>28.643723748716873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74.076019364150625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1.2710188457276673E-13</v>
      </c>
      <c r="AK161" s="14">
        <f t="shared" si="164"/>
        <v>1.856866851063998E-12</v>
      </c>
      <c r="AL161" s="22">
        <f t="shared" si="165"/>
        <v>3.4554122145673649E-12</v>
      </c>
      <c r="AM161" s="62">
        <f t="shared" si="113"/>
        <v>293.33333333333678</v>
      </c>
      <c r="AN161" s="62">
        <f ca="1">AVERAGE(OFFSET($AM$3,0,0,'Données projet'!$E$10+1,1))-AVERAGE(OFFSET($H$3,0,0,'Données projet'!$E$10+1,1))</f>
        <v>507.43397352006832</v>
      </c>
      <c r="AO161" s="62">
        <f t="shared" si="144"/>
        <v>631.65579929520936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56.659895552393586</v>
      </c>
      <c r="AV161" s="23">
        <f>EXP(-LN(2)/25)*AV160+(1-EXP(-LN(2)/25))/(LN(2)/25)*Calculateur!AQ161*Calculateur!AS161*VLOOKUP('Données projet'!$B$10,Paramètres!$A$1:$I$89,3,0)*0.475*44/12</f>
        <v>3.2634518685733793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59.923347420966962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projet'!$B$11,Paramètres!$A$1:$I$89,3,0)*VLOOKUP('Données projet'!$B$11,Paramètres!$A$1:$I$89,5,0)</f>
        <v>1.3301360013429075E-13</v>
      </c>
      <c r="BF161" s="14">
        <f t="shared" si="167"/>
        <v>1.9329766731057041E-12</v>
      </c>
      <c r="BG161" s="22">
        <f t="shared" si="168"/>
        <v>3.5982663925596575E-12</v>
      </c>
      <c r="BH161" s="62">
        <f t="shared" si="116"/>
        <v>293.3333333333369</v>
      </c>
      <c r="BI161" s="62">
        <f ca="1">AVERAGE(OFFSET($BH$3,0,0,'Données projet'!$E$11+1,1))-AVERAGE(OFFSET($H$3,0,0,'Données projet'!$E$11+1,1))</f>
        <v>357.65167206083379</v>
      </c>
      <c r="BJ161" s="62">
        <f t="shared" si="146"/>
        <v>341.23389735986342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34.798245061492459</v>
      </c>
      <c r="BQ161" s="23">
        <f>EXP(-LN(2)/25)*BQ160+(1-EXP(-LN(2)/25))/(LN(2)/25)*Calculateur!BL161*Calculateur!BN161*VLOOKUP('Données projet'!$B$11,Paramètres!$A$1:$I$89,3,0)*0.475*44/12</f>
        <v>2.8710764665540633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37.669321528046524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7.4</v>
      </c>
      <c r="N162" s="14">
        <f>IF('Données projet'!$A$36&gt;35,N161+M162-V161,IF(A162&lt;'Données projet'!$A$36,$K$205^A162,IF(A162='Données projet'!$A$36,'Données projet'!$B$36,N161+M162-V161)))</f>
        <v>362.59999999999968</v>
      </c>
      <c r="O162" s="14">
        <f>N162*VLOOKUP('Données projet'!$B$9,Paramètres!$A$1:$I$89,3,0)*VLOOKUP('Données projet'!$B$9,Paramètres!$A$1:$I$89,5,0)</f>
        <v>328.08047999999968</v>
      </c>
      <c r="P162" s="14">
        <f t="shared" si="141"/>
        <v>77.032206685189635</v>
      </c>
      <c r="Q162" s="22">
        <f t="shared" si="162"/>
        <v>705.57126264337137</v>
      </c>
      <c r="R162" s="62">
        <f t="shared" si="109"/>
        <v>998.90459597670474</v>
      </c>
      <c r="S162" s="62">
        <f ca="1">AVERAGE(OFFSET($R$3,0,0,'Données projet'!$E$9+1,1))-AVERAGE(OFFSET($H$3,0,0,'Données projet'!$E$9+1,1))</f>
        <v>430.41482167204606</v>
      </c>
      <c r="T162" s="62">
        <f t="shared" si="142"/>
        <v>177.02794100524551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44.541396009379191</v>
      </c>
      <c r="AA162" s="23">
        <f>EXP(-LN(2)/25)*AA161+(1-EXP(-LN(2)/25))/(LN(2)/25)*Calculateur!V162*Calculateur!X162*VLOOKUP('Données projet'!$B$9,Paramètres!$A$1:$I$89,3,0)*0.475*44/12</f>
        <v>27.860459616500243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72.401855625879435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1.2710188457276673E-13</v>
      </c>
      <c r="AK162" s="14">
        <f t="shared" si="164"/>
        <v>1.856866851063998E-12</v>
      </c>
      <c r="AL162" s="22">
        <f t="shared" si="165"/>
        <v>3.4554122145673649E-12</v>
      </c>
      <c r="AM162" s="62">
        <f t="shared" si="113"/>
        <v>293.33333333333678</v>
      </c>
      <c r="AN162" s="62">
        <f ca="1">AVERAGE(OFFSET($AM$3,0,0,'Données projet'!$E$10+1,1))-AVERAGE(OFFSET($H$3,0,0,'Données projet'!$E$10+1,1))</f>
        <v>507.43397352006832</v>
      </c>
      <c r="AO162" s="62">
        <f t="shared" si="144"/>
        <v>631.65579929520936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55.548829559735005</v>
      </c>
      <c r="AV162" s="23">
        <f>EXP(-LN(2)/25)*AV161+(1-EXP(-LN(2)/25))/(LN(2)/25)*Calculateur!AQ162*Calculateur!AS162*VLOOKUP('Données projet'!$B$10,Paramètres!$A$1:$I$89,3,0)*0.475*44/12</f>
        <v>3.1742126056097653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58.723042165344772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projet'!$B$11,Paramètres!$A$1:$I$89,3,0)*VLOOKUP('Données projet'!$B$11,Paramètres!$A$1:$I$89,5,0)</f>
        <v>1.3301360013429075E-13</v>
      </c>
      <c r="BF162" s="14">
        <f t="shared" si="167"/>
        <v>1.9329766731057041E-12</v>
      </c>
      <c r="BG162" s="22">
        <f t="shared" si="168"/>
        <v>3.5982663925596575E-12</v>
      </c>
      <c r="BH162" s="62">
        <f t="shared" si="116"/>
        <v>293.3333333333369</v>
      </c>
      <c r="BI162" s="62">
        <f ca="1">AVERAGE(OFFSET($BH$3,0,0,'Données projet'!$E$11+1,1))-AVERAGE(OFFSET($H$3,0,0,'Données projet'!$E$11+1,1))</f>
        <v>357.65167206083379</v>
      </c>
      <c r="BJ162" s="62">
        <f t="shared" si="146"/>
        <v>341.23389735986342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34.115872700670302</v>
      </c>
      <c r="BQ162" s="23">
        <f>EXP(-LN(2)/25)*BQ161+(1-EXP(-LN(2)/25))/(LN(2)/25)*Calculateur!BL162*Calculateur!BN162*VLOOKUP('Données projet'!$B$11,Paramètres!$A$1:$I$89,3,0)*0.475*44/12</f>
        <v>2.7925667295927932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36.908439430263094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7.4</v>
      </c>
      <c r="N163" s="14">
        <f>IF('Données projet'!$A$36&gt;35,N162+M163-V162,IF(A163&lt;'Données projet'!$A$36,$K$205^A163,IF(A163='Données projet'!$A$36,'Données projet'!$B$36,N162+M163-V162)))</f>
        <v>369.99999999999966</v>
      </c>
      <c r="O163" s="14">
        <f>N163*VLOOKUP('Données projet'!$B$9,Paramètres!$A$1:$I$89,3,0)*VLOOKUP('Données projet'!$B$9,Paramètres!$A$1:$I$89,5,0)</f>
        <v>334.77599999999967</v>
      </c>
      <c r="P163" s="14">
        <f t="shared" si="141"/>
        <v>78.419664234834713</v>
      </c>
      <c r="Q163" s="22">
        <f t="shared" si="162"/>
        <v>719.6491152090033</v>
      </c>
      <c r="R163" s="62">
        <f t="shared" si="109"/>
        <v>1012.9824485423367</v>
      </c>
      <c r="S163" s="62">
        <f ca="1">AVERAGE(OFFSET($R$3,0,0,'Données projet'!$E$9+1,1))-AVERAGE(OFFSET($H$3,0,0,'Données projet'!$E$9+1,1))</f>
        <v>430.41482167204606</v>
      </c>
      <c r="T163" s="62">
        <f t="shared" si="142"/>
        <v>177.02794100524551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43.667966401204254</v>
      </c>
      <c r="AA163" s="23">
        <f>EXP(-LN(2)/25)*AA162+(1-EXP(-LN(2)/25))/(LN(2)/25)*Calculateur!V163*Calculateur!X163*VLOOKUP('Données projet'!$B$9,Paramètres!$A$1:$I$89,3,0)*0.475*44/12</f>
        <v>27.098613883169151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70.766580284373404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1.2710188457276673E-13</v>
      </c>
      <c r="AK163" s="14">
        <f t="shared" si="164"/>
        <v>1.856866851063998E-12</v>
      </c>
      <c r="AL163" s="22">
        <f t="shared" si="165"/>
        <v>3.4554122145673649E-12</v>
      </c>
      <c r="AM163" s="62">
        <f t="shared" si="113"/>
        <v>293.33333333333678</v>
      </c>
      <c r="AN163" s="62">
        <f ca="1">AVERAGE(OFFSET($AM$3,0,0,'Données projet'!$E$10+1,1))-AVERAGE(OFFSET($H$3,0,0,'Données projet'!$E$10+1,1))</f>
        <v>507.43397352006832</v>
      </c>
      <c r="AO163" s="62">
        <f t="shared" si="144"/>
        <v>631.65579929520936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54.459550893509117</v>
      </c>
      <c r="AV163" s="23">
        <f>EXP(-LN(2)/25)*AV162+(1-EXP(-LN(2)/25))/(LN(2)/25)*Calculateur!AQ163*Calculateur!AS163*VLOOKUP('Données projet'!$B$10,Paramètres!$A$1:$I$89,3,0)*0.475*44/12</f>
        <v>3.0874135949847799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57.546964488493899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projet'!$B$11,Paramètres!$A$1:$I$89,3,0)*VLOOKUP('Données projet'!$B$11,Paramètres!$A$1:$I$89,5,0)</f>
        <v>1.3301360013429075E-13</v>
      </c>
      <c r="BF163" s="14">
        <f t="shared" si="167"/>
        <v>1.9329766731057041E-12</v>
      </c>
      <c r="BG163" s="22">
        <f t="shared" si="168"/>
        <v>3.5982663925596575E-12</v>
      </c>
      <c r="BH163" s="62">
        <f t="shared" si="116"/>
        <v>293.3333333333369</v>
      </c>
      <c r="BI163" s="62">
        <f ca="1">AVERAGE(OFFSET($BH$3,0,0,'Données projet'!$E$11+1,1))-AVERAGE(OFFSET($H$3,0,0,'Données projet'!$E$11+1,1))</f>
        <v>357.65167206083379</v>
      </c>
      <c r="BJ163" s="62">
        <f t="shared" si="146"/>
        <v>341.23389735986342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33.446881245637826</v>
      </c>
      <c r="BQ163" s="23">
        <f>EXP(-LN(2)/25)*BQ162+(1-EXP(-LN(2)/25))/(LN(2)/25)*Calculateur!BL163*Calculateur!BN163*VLOOKUP('Données projet'!$B$11,Paramètres!$A$1:$I$89,3,0)*0.475*44/12</f>
        <v>2.7162038455173763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36.163085091155203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7.4</v>
      </c>
      <c r="N164" s="14">
        <f>IF('Données projet'!$A$36&gt;35,N163+M164-V163,IF(A164&lt;'Données projet'!$A$36,$K$205^A164,IF(A164='Données projet'!$A$36,'Données projet'!$B$36,N163+M164-V163)))</f>
        <v>377.39999999999964</v>
      </c>
      <c r="O164" s="14">
        <f>N164*VLOOKUP('Données projet'!$B$9,Paramètres!$A$1:$I$89,3,0)*VLOOKUP('Données projet'!$B$9,Paramètres!$A$1:$I$89,5,0)</f>
        <v>341.47151999999966</v>
      </c>
      <c r="P164" s="14">
        <f t="shared" si="141"/>
        <v>79.803895312735833</v>
      </c>
      <c r="Q164" s="22">
        <f t="shared" si="162"/>
        <v>733.72134833634766</v>
      </c>
      <c r="R164" s="62">
        <f t="shared" si="109"/>
        <v>1027.054681669681</v>
      </c>
      <c r="S164" s="62">
        <f ca="1">AVERAGE(OFFSET($R$3,0,0,'Données projet'!$E$9+1,1))-AVERAGE(OFFSET($H$3,0,0,'Données projet'!$E$9+1,1))</f>
        <v>430.41482167204606</v>
      </c>
      <c r="T164" s="62">
        <f t="shared" si="142"/>
        <v>177.02794100524551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42.811664214906173</v>
      </c>
      <c r="AA164" s="23">
        <f>EXP(-LN(2)/25)*AA163+(1-EXP(-LN(2)/25))/(LN(2)/25)*Calculateur!V164*Calculateur!X164*VLOOKUP('Données projet'!$B$9,Paramètres!$A$1:$I$89,3,0)*0.475*44/12</f>
        <v>26.357600861479721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69.169265076385898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1.2710188457276673E-13</v>
      </c>
      <c r="AK164" s="14">
        <f t="shared" si="164"/>
        <v>1.856866851063998E-12</v>
      </c>
      <c r="AL164" s="22">
        <f t="shared" si="165"/>
        <v>3.4554122145673649E-12</v>
      </c>
      <c r="AM164" s="62">
        <f t="shared" si="113"/>
        <v>293.33333333333678</v>
      </c>
      <c r="AN164" s="62">
        <f ca="1">AVERAGE(OFFSET($AM$3,0,0,'Données projet'!$E$10+1,1))-AVERAGE(OFFSET($H$3,0,0,'Données projet'!$E$10+1,1))</f>
        <v>507.43397352006832</v>
      </c>
      <c r="AO164" s="62">
        <f t="shared" si="144"/>
        <v>631.65579929520936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53.391632317533535</v>
      </c>
      <c r="AV164" s="23">
        <f>EXP(-LN(2)/25)*AV163+(1-EXP(-LN(2)/25))/(LN(2)/25)*Calculateur!AQ164*Calculateur!AS164*VLOOKUP('Données projet'!$B$10,Paramètres!$A$1:$I$89,3,0)*0.475*44/12</f>
        <v>3.0029881078698963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56.394620425403431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projet'!$B$11,Paramètres!$A$1:$I$89,3,0)*VLOOKUP('Données projet'!$B$11,Paramètres!$A$1:$I$89,5,0)</f>
        <v>1.3301360013429075E-13</v>
      </c>
      <c r="BF164" s="14">
        <f t="shared" si="167"/>
        <v>1.9329766731057041E-12</v>
      </c>
      <c r="BG164" s="22">
        <f t="shared" si="168"/>
        <v>3.5982663925596575E-12</v>
      </c>
      <c r="BH164" s="62">
        <f t="shared" si="116"/>
        <v>293.3333333333369</v>
      </c>
      <c r="BI164" s="62">
        <f ca="1">AVERAGE(OFFSET($BH$3,0,0,'Données projet'!$E$11+1,1))-AVERAGE(OFFSET($H$3,0,0,'Données projet'!$E$11+1,1))</f>
        <v>357.65167206083379</v>
      </c>
      <c r="BJ164" s="62">
        <f t="shared" si="146"/>
        <v>341.23389735986342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32.791008304994037</v>
      </c>
      <c r="BQ164" s="23">
        <f>EXP(-LN(2)/25)*BQ163+(1-EXP(-LN(2)/25))/(LN(2)/25)*Calculateur!BL164*Calculateur!BN164*VLOOKUP('Données projet'!$B$11,Paramètres!$A$1:$I$89,3,0)*0.475*44/12</f>
        <v>2.6419291085227514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35.43293741351679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7.4</v>
      </c>
      <c r="N165" s="14">
        <f>IF('Données projet'!$A$36&gt;35,N164+M165-V164,IF(A165&lt;'Données projet'!$A$36,$K$205^A165,IF(A165='Données projet'!$A$36,'Données projet'!$B$36,N164+M165-V164)))</f>
        <v>384.79999999999961</v>
      </c>
      <c r="O165" s="14">
        <f>N165*VLOOKUP('Données projet'!$B$9,Paramètres!$A$1:$I$89,3,0)*VLOOKUP('Données projet'!$B$9,Paramètres!$A$1:$I$89,5,0)</f>
        <v>348.16703999999964</v>
      </c>
      <c r="P165" s="14">
        <f t="shared" si="141"/>
        <v>81.184970475577273</v>
      </c>
      <c r="Q165" s="22">
        <f t="shared" si="162"/>
        <v>747.78808491162965</v>
      </c>
      <c r="R165" s="62">
        <f t="shared" si="109"/>
        <v>1041.121418244963</v>
      </c>
      <c r="S165" s="62">
        <f ca="1">AVERAGE(OFFSET($R$3,0,0,'Données projet'!$E$9+1,1))-AVERAGE(OFFSET($H$3,0,0,'Données projet'!$E$9+1,1))</f>
        <v>430.41482167204606</v>
      </c>
      <c r="T165" s="62">
        <f t="shared" si="142"/>
        <v>177.02794100524551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41.972153592188633</v>
      </c>
      <c r="AA165" s="23">
        <f>EXP(-LN(2)/25)*AA164+(1-EXP(-LN(2)/25))/(LN(2)/25)*Calculateur!V165*Calculateur!X165*VLOOKUP('Données projet'!$B$9,Paramètres!$A$1:$I$89,3,0)*0.475*44/12</f>
        <v>25.636850879836569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67.609004472025205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1.2710188457276673E-13</v>
      </c>
      <c r="AK165" s="14">
        <f t="shared" si="164"/>
        <v>1.856866851063998E-12</v>
      </c>
      <c r="AL165" s="22">
        <f t="shared" si="165"/>
        <v>3.4554122145673649E-12</v>
      </c>
      <c r="AM165" s="62">
        <f t="shared" si="113"/>
        <v>293.33333333333678</v>
      </c>
      <c r="AN165" s="62">
        <f ca="1">AVERAGE(OFFSET($AM$3,0,0,'Données projet'!$E$10+1,1))-AVERAGE(OFFSET($H$3,0,0,'Données projet'!$E$10+1,1))</f>
        <v>507.43397352006832</v>
      </c>
      <c r="AO165" s="62">
        <f t="shared" si="144"/>
        <v>631.65579929520936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52.344654973466824</v>
      </c>
      <c r="AV165" s="23">
        <f>EXP(-LN(2)/25)*AV164+(1-EXP(-LN(2)/25))/(LN(2)/25)*Calculateur!AQ165*Calculateur!AS165*VLOOKUP('Données projet'!$B$10,Paramètres!$A$1:$I$89,3,0)*0.475*44/12</f>
        <v>2.9208712401399128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55.265526213606734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projet'!$B$11,Paramètres!$A$1:$I$89,3,0)*VLOOKUP('Données projet'!$B$11,Paramètres!$A$1:$I$89,5,0)</f>
        <v>1.3301360013429075E-13</v>
      </c>
      <c r="BF165" s="14">
        <f t="shared" si="167"/>
        <v>1.9329766731057041E-12</v>
      </c>
      <c r="BG165" s="22">
        <f t="shared" si="168"/>
        <v>3.5982663925596575E-12</v>
      </c>
      <c r="BH165" s="62">
        <f t="shared" si="116"/>
        <v>293.3333333333369</v>
      </c>
      <c r="BI165" s="62">
        <f ca="1">AVERAGE(OFFSET($BH$3,0,0,'Données projet'!$E$11+1,1))-AVERAGE(OFFSET($H$3,0,0,'Données projet'!$E$11+1,1))</f>
        <v>357.65167206083379</v>
      </c>
      <c r="BJ165" s="62">
        <f t="shared" si="146"/>
        <v>341.23389735986342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32.147996632673284</v>
      </c>
      <c r="BQ165" s="23">
        <f>EXP(-LN(2)/25)*BQ164+(1-EXP(-LN(2)/25))/(LN(2)/25)*Calculateur!BL165*Calculateur!BN165*VLOOKUP('Données projet'!$B$11,Paramètres!$A$1:$I$89,3,0)*0.475*44/12</f>
        <v>2.5696854181171833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34.717682050790465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7.4</v>
      </c>
      <c r="N166" s="14">
        <f>IF('Données projet'!$A$36&gt;35,N165+M166-V165,IF(A166&lt;'Données projet'!$A$36,$K$205^A166,IF(A166='Données projet'!$A$36,'Données projet'!$B$36,N165+M166-V165)))</f>
        <v>392.19999999999959</v>
      </c>
      <c r="O166" s="14">
        <f>N166*VLOOKUP('Données projet'!$B$9,Paramètres!$A$1:$I$89,3,0)*VLOOKUP('Données projet'!$B$9,Paramètres!$A$1:$I$89,5,0)</f>
        <v>354.86255999999963</v>
      </c>
      <c r="P166" s="14">
        <f t="shared" si="141"/>
        <v>82.56295741106787</v>
      </c>
      <c r="Q166" s="22">
        <f t="shared" si="162"/>
        <v>761.8494428242758</v>
      </c>
      <c r="R166" s="62">
        <f t="shared" si="109"/>
        <v>1055.1827761576092</v>
      </c>
      <c r="S166" s="62">
        <f ca="1">AVERAGE(OFFSET($R$3,0,0,'Données projet'!$E$9+1,1))-AVERAGE(OFFSET($H$3,0,0,'Données projet'!$E$9+1,1))</f>
        <v>430.41482167204606</v>
      </c>
      <c r="T166" s="62">
        <f t="shared" si="142"/>
        <v>177.02794100524551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41.149105260731666</v>
      </c>
      <c r="AA166" s="23">
        <f>EXP(-LN(2)/25)*AA165+(1-EXP(-LN(2)/25))/(LN(2)/25)*Calculateur!V166*Calculateur!X166*VLOOKUP('Données projet'!$B$9,Paramètres!$A$1:$I$89,3,0)*0.475*44/12</f>
        <v>24.935809844344043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66.084915105075709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1.2710188457276673E-13</v>
      </c>
      <c r="AK166" s="14">
        <f t="shared" si="164"/>
        <v>1.856866851063998E-12</v>
      </c>
      <c r="AL166" s="22">
        <f t="shared" si="165"/>
        <v>3.4554122145673649E-12</v>
      </c>
      <c r="AM166" s="62">
        <f t="shared" si="113"/>
        <v>293.33333333333678</v>
      </c>
      <c r="AN166" s="62">
        <f ca="1">AVERAGE(OFFSET($AM$3,0,0,'Données projet'!$E$10+1,1))-AVERAGE(OFFSET($H$3,0,0,'Données projet'!$E$10+1,1))</f>
        <v>507.43397352006832</v>
      </c>
      <c r="AO166" s="62">
        <f t="shared" si="144"/>
        <v>631.65579929520936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51.318208216524134</v>
      </c>
      <c r="AV166" s="23">
        <f>EXP(-LN(2)/25)*AV165+(1-EXP(-LN(2)/25))/(LN(2)/25)*Calculateur!AQ166*Calculateur!AS166*VLOOKUP('Données projet'!$B$10,Paramètres!$A$1:$I$89,3,0)*0.475*44/12</f>
        <v>2.8409998624763442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54.159208079000479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projet'!$B$11,Paramètres!$A$1:$I$89,3,0)*VLOOKUP('Données projet'!$B$11,Paramètres!$A$1:$I$89,5,0)</f>
        <v>1.3301360013429075E-13</v>
      </c>
      <c r="BF166" s="14">
        <f t="shared" si="167"/>
        <v>1.9329766731057041E-12</v>
      </c>
      <c r="BG166" s="22">
        <f t="shared" si="168"/>
        <v>3.5982663925596575E-12</v>
      </c>
      <c r="BH166" s="62">
        <f t="shared" si="116"/>
        <v>293.3333333333369</v>
      </c>
      <c r="BI166" s="62">
        <f ca="1">AVERAGE(OFFSET($BH$3,0,0,'Données projet'!$E$11+1,1))-AVERAGE(OFFSET($H$3,0,0,'Données projet'!$E$11+1,1))</f>
        <v>357.65167206083379</v>
      </c>
      <c r="BJ166" s="62">
        <f t="shared" si="146"/>
        <v>341.23389735986342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31.517594027048343</v>
      </c>
      <c r="BQ166" s="23">
        <f>EXP(-LN(2)/25)*BQ165+(1-EXP(-LN(2)/25))/(LN(2)/25)*Calculateur!BL166*Calculateur!BN166*VLOOKUP('Données projet'!$B$11,Paramètres!$A$1:$I$89,3,0)*0.475*44/12</f>
        <v>2.499417235224886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34.017011262273229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7.4</v>
      </c>
      <c r="N167" s="14">
        <f>IF('Données projet'!$A$36&gt;35,N166+M167-V166,IF(A167&lt;'Données projet'!$A$36,$K$205^A167,IF(A167='Données projet'!$A$36,'Données projet'!$B$36,N166+M167-V166)))</f>
        <v>399.59999999999957</v>
      </c>
      <c r="O167" s="14">
        <f>N167*VLOOKUP('Données projet'!$B$9,Paramètres!$A$1:$I$89,3,0)*VLOOKUP('Données projet'!$B$9,Paramètres!$A$1:$I$89,5,0)</f>
        <v>361.55807999999962</v>
      </c>
      <c r="P167" s="14">
        <f t="shared" si="141"/>
        <v>83.937921106491814</v>
      </c>
      <c r="Q167" s="22">
        <f t="shared" si="162"/>
        <v>775.90553526047267</v>
      </c>
      <c r="R167" s="62">
        <f t="shared" si="109"/>
        <v>1069.238868593806</v>
      </c>
      <c r="S167" s="62">
        <f ca="1">AVERAGE(OFFSET($R$3,0,0,'Données projet'!$E$9+1,1))-AVERAGE(OFFSET($H$3,0,0,'Données projet'!$E$9+1,1))</f>
        <v>430.41482167204606</v>
      </c>
      <c r="T167" s="62">
        <f t="shared" si="142"/>
        <v>177.02794100524551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40.34219640504466</v>
      </c>
      <c r="AA167" s="23">
        <f>EXP(-LN(2)/25)*AA166+(1-EXP(-LN(2)/25))/(LN(2)/25)*Calculateur!V167*Calculateur!X167*VLOOKUP('Données projet'!$B$9,Paramètres!$A$1:$I$89,3,0)*0.475*44/12</f>
        <v>24.253938812833205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64.596135217877872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1.2710188457276673E-13</v>
      </c>
      <c r="AK167" s="14">
        <f t="shared" si="164"/>
        <v>1.856866851063998E-12</v>
      </c>
      <c r="AL167" s="22">
        <f t="shared" si="165"/>
        <v>3.4554122145673649E-12</v>
      </c>
      <c r="AM167" s="62">
        <f t="shared" si="113"/>
        <v>293.33333333333678</v>
      </c>
      <c r="AN167" s="62">
        <f ca="1">AVERAGE(OFFSET($AM$3,0,0,'Données projet'!$E$10+1,1))-AVERAGE(OFFSET($H$3,0,0,'Données projet'!$E$10+1,1))</f>
        <v>507.43397352006832</v>
      </c>
      <c r="AO167" s="62">
        <f t="shared" si="144"/>
        <v>631.65579929520936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50.311889454414391</v>
      </c>
      <c r="AV167" s="23">
        <f>EXP(-LN(2)/25)*AV166+(1-EXP(-LN(2)/25))/(LN(2)/25)*Calculateur!AQ167*Calculateur!AS167*VLOOKUP('Données projet'!$B$10,Paramètres!$A$1:$I$89,3,0)*0.475*44/12</f>
        <v>2.7633125718352392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53.075202026249627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projet'!$B$11,Paramètres!$A$1:$I$89,3,0)*VLOOKUP('Données projet'!$B$11,Paramètres!$A$1:$I$89,5,0)</f>
        <v>1.3301360013429075E-13</v>
      </c>
      <c r="BF167" s="14">
        <f t="shared" si="167"/>
        <v>1.9329766731057041E-12</v>
      </c>
      <c r="BG167" s="22">
        <f t="shared" si="168"/>
        <v>3.5982663925596575E-12</v>
      </c>
      <c r="BH167" s="62">
        <f t="shared" si="116"/>
        <v>293.3333333333369</v>
      </c>
      <c r="BI167" s="62">
        <f ca="1">AVERAGE(OFFSET($BH$3,0,0,'Données projet'!$E$11+1,1))-AVERAGE(OFFSET($H$3,0,0,'Données projet'!$E$11+1,1))</f>
        <v>357.65167206083379</v>
      </c>
      <c r="BJ167" s="62">
        <f t="shared" si="146"/>
        <v>341.23389735986342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30.899553232012085</v>
      </c>
      <c r="BQ167" s="23">
        <f>EXP(-LN(2)/25)*BQ166+(1-EXP(-LN(2)/25))/(LN(2)/25)*Calculateur!BL167*Calculateur!BN167*VLOOKUP('Données projet'!$B$11,Paramètres!$A$1:$I$89,3,0)*0.475*44/12</f>
        <v>2.4310705394890215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33.330623771501109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>
        <f>VLOOKUP(A168,'Données projet'!$A$35:$I$55,2,0)</f>
        <v>407</v>
      </c>
      <c r="L168" s="13">
        <f>VLOOKUP(A168,'Données projet'!$A$35:$I$55,9,0)</f>
        <v>7.4</v>
      </c>
      <c r="M168" s="13">
        <f t="array" ref="M168">INDEX(L:L,MIN(IF(ISNUMBER(L168:L364),ROW(L168:L364),"")))</f>
        <v>7.4</v>
      </c>
      <c r="N168" s="14">
        <f>IF('Données projet'!$A$36&gt;35,N167+M168-V167,IF(A168&lt;'Données projet'!$A$36,$K$205^A168,IF(A168='Données projet'!$A$36,'Données projet'!$B$36,N167+M168-V167)))</f>
        <v>406.99999999999955</v>
      </c>
      <c r="O168" s="14">
        <f>N168*VLOOKUP('Données projet'!$B$9,Paramètres!$A$1:$I$89,3,0)*VLOOKUP('Données projet'!$B$9,Paramètres!$A$1:$I$89,5,0)</f>
        <v>368.25359999999955</v>
      </c>
      <c r="P168" s="14">
        <f t="shared" si="141"/>
        <v>85.309924004420566</v>
      </c>
      <c r="Q168" s="22">
        <f t="shared" si="162"/>
        <v>789.95647097436506</v>
      </c>
      <c r="R168" s="62">
        <f t="shared" si="109"/>
        <v>1083.2898043076984</v>
      </c>
      <c r="S168" s="62">
        <f ca="1">AVERAGE(OFFSET($R$3,0,0,'Données projet'!$E$9+1,1))-AVERAGE(OFFSET($H$3,0,0,'Données projet'!$E$9+1,1))</f>
        <v>430.41482167204606</v>
      </c>
      <c r="T168" s="62">
        <f t="shared" si="142"/>
        <v>177.02794100524551</v>
      </c>
      <c r="U168" s="16">
        <f>IF(ISNA(VLOOKUP(A168,'Données projet'!$A$35:$I$55,3,0)),0,VLOOKUP(A168,'Données projet'!$A$35:$I$55,3,0))</f>
        <v>14</v>
      </c>
      <c r="V168" s="16">
        <f>IF(ISNA(VLOOKUP(A168,'Données projet'!$A$35:$I$55,4,0)),0,VLOOKUP(A168,'Données projet'!$A$35:$I$55,4,0))</f>
        <v>45</v>
      </c>
      <c r="W168" s="17">
        <f>IF(ISNA(VLOOKUP(A168,'Données projet'!$A$35:$I$55,5,0)),0%,VLOOKUP(A168,'Données projet'!$A$35:$I$55,5,0)*VLOOKUP('Données projet'!$B$9,Paramètres!$A$1:$I$89,7,0))</f>
        <v>0.43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58.905553288269218</v>
      </c>
      <c r="AA168" s="23">
        <f>EXP(-LN(2)/25)*AA167+(1-EXP(-LN(2)/25))/(LN(2)/25)*Calculateur!V168*Calculateur!X168*VLOOKUP('Données projet'!$B$9,Paramètres!$A$1:$I$89,3,0)*0.475*44/12</f>
        <v>23.590713580537074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82.496266868806288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1.2710188457276673E-13</v>
      </c>
      <c r="AK168" s="14">
        <f t="shared" si="164"/>
        <v>1.856866851063998E-12</v>
      </c>
      <c r="AL168" s="22">
        <f t="shared" si="165"/>
        <v>3.4554122145673649E-12</v>
      </c>
      <c r="AM168" s="62">
        <f t="shared" si="113"/>
        <v>293.33333333333678</v>
      </c>
      <c r="AN168" s="62">
        <f ca="1">AVERAGE(OFFSET($AM$3,0,0,'Données projet'!$E$10+1,1))-AVERAGE(OFFSET($H$3,0,0,'Données projet'!$E$10+1,1))</f>
        <v>507.43397352006832</v>
      </c>
      <c r="AO168" s="62">
        <f t="shared" si="144"/>
        <v>631.65579929520936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49.325303989435781</v>
      </c>
      <c r="AV168" s="23">
        <f>EXP(-LN(2)/25)*AV167+(1-EXP(-LN(2)/25))/(LN(2)/25)*Calculateur!AQ168*Calculateur!AS168*VLOOKUP('Données projet'!$B$10,Paramètres!$A$1:$I$89,3,0)*0.475*44/12</f>
        <v>2.6877496442421118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52.013053633677892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projet'!$B$11,Paramètres!$A$1:$I$89,3,0)*VLOOKUP('Données projet'!$B$11,Paramètres!$A$1:$I$89,5,0)</f>
        <v>1.3301360013429075E-13</v>
      </c>
      <c r="BF168" s="14">
        <f t="shared" si="167"/>
        <v>1.9329766731057041E-12</v>
      </c>
      <c r="BG168" s="22">
        <f t="shared" si="168"/>
        <v>3.5982663925596575E-12</v>
      </c>
      <c r="BH168" s="62">
        <f t="shared" si="116"/>
        <v>293.3333333333369</v>
      </c>
      <c r="BI168" s="62">
        <f ca="1">AVERAGE(OFFSET($BH$3,0,0,'Données projet'!$E$11+1,1))-AVERAGE(OFFSET($H$3,0,0,'Données projet'!$E$11+1,1))</f>
        <v>357.65167206083379</v>
      </c>
      <c r="BJ168" s="62">
        <f t="shared" si="146"/>
        <v>341.23389735986342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30.293631839998827</v>
      </c>
      <c r="BQ168" s="23">
        <f>EXP(-LN(2)/25)*BQ167+(1-EXP(-LN(2)/25))/(LN(2)/25)*Calculateur!BL168*Calculateur!BN168*VLOOKUP('Données projet'!$B$11,Paramètres!$A$1:$I$89,3,0)*0.475*44/12</f>
        <v>2.364592787742251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32.658224627741077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17.2</v>
      </c>
      <c r="N169" s="14">
        <f>IF('Données projet'!$A$36&gt;35,N168+M169-V168,IF(A169&lt;'Données projet'!$A$36,$K$205^A169,IF(A169='Données projet'!$A$36,'Données projet'!$B$36,N168+M169-V168)))</f>
        <v>379.19999999999953</v>
      </c>
      <c r="O169" s="14">
        <f>N169*VLOOKUP('Données projet'!$B$9,Paramètres!$A$1:$I$89,3,0)*VLOOKUP('Données projet'!$B$9,Paramètres!$A$1:$I$89,5,0)</f>
        <v>343.10015999999956</v>
      </c>
      <c r="P169" s="14">
        <f t="shared" si="141"/>
        <v>80.140120350085823</v>
      </c>
      <c r="Q169" s="22">
        <f t="shared" si="162"/>
        <v>737.14348827639867</v>
      </c>
      <c r="R169" s="62">
        <f t="shared" si="109"/>
        <v>1030.476821609732</v>
      </c>
      <c r="S169" s="62">
        <f ca="1">AVERAGE(OFFSET($R$3,0,0,'Données projet'!$E$9+1,1))-AVERAGE(OFFSET($H$3,0,0,'Données projet'!$E$9+1,1))</f>
        <v>430.41482167204606</v>
      </c>
      <c r="T169" s="62">
        <f t="shared" si="142"/>
        <v>177.02794100524551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57.750451317126085</v>
      </c>
      <c r="AA169" s="23">
        <f>EXP(-LN(2)/25)*AA168+(1-EXP(-LN(2)/25))/(LN(2)/25)*Calculateur!V169*Calculateur!X169*VLOOKUP('Données projet'!$B$9,Paramètres!$A$1:$I$89,3,0)*0.475*44/12</f>
        <v>22.945624277095579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80.696075594221668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1.2710188457276673E-13</v>
      </c>
      <c r="AK169" s="14">
        <f t="shared" si="164"/>
        <v>1.856866851063998E-12</v>
      </c>
      <c r="AL169" s="22">
        <f t="shared" si="165"/>
        <v>3.4554122145673649E-12</v>
      </c>
      <c r="AM169" s="62">
        <f t="shared" si="113"/>
        <v>293.33333333333678</v>
      </c>
      <c r="AN169" s="62">
        <f ca="1">AVERAGE(OFFSET($AM$3,0,0,'Données projet'!$E$10+1,1))-AVERAGE(OFFSET($H$3,0,0,'Données projet'!$E$10+1,1))</f>
        <v>507.43397352006832</v>
      </c>
      <c r="AO169" s="62">
        <f t="shared" si="144"/>
        <v>631.65579929520936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48.358064863667686</v>
      </c>
      <c r="AV169" s="23">
        <f>EXP(-LN(2)/25)*AV168+(1-EXP(-LN(2)/25))/(LN(2)/25)*Calculateur!AQ169*Calculateur!AS169*VLOOKUP('Données projet'!$B$10,Paramètres!$A$1:$I$89,3,0)*0.475*44/12</f>
        <v>2.6142529888777006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50.972317852545387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projet'!$B$11,Paramètres!$A$1:$I$89,3,0)*VLOOKUP('Données projet'!$B$11,Paramètres!$A$1:$I$89,5,0)</f>
        <v>1.3301360013429075E-13</v>
      </c>
      <c r="BF169" s="14">
        <f t="shared" si="167"/>
        <v>1.9329766731057041E-12</v>
      </c>
      <c r="BG169" s="22">
        <f t="shared" si="168"/>
        <v>3.5982663925596575E-12</v>
      </c>
      <c r="BH169" s="62">
        <f t="shared" si="116"/>
        <v>293.3333333333369</v>
      </c>
      <c r="BI169" s="62">
        <f ca="1">AVERAGE(OFFSET($BH$3,0,0,'Données projet'!$E$11+1,1))-AVERAGE(OFFSET($H$3,0,0,'Données projet'!$E$11+1,1))</f>
        <v>357.65167206083379</v>
      </c>
      <c r="BJ169" s="62">
        <f t="shared" si="146"/>
        <v>341.23389735986342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29.699592196907393</v>
      </c>
      <c r="BQ169" s="23">
        <f>EXP(-LN(2)/25)*BQ168+(1-EXP(-LN(2)/25))/(LN(2)/25)*Calculateur!BL169*Calculateur!BN169*VLOOKUP('Données projet'!$B$11,Paramètres!$A$1:$I$89,3,0)*0.475*44/12</f>
        <v>2.2999328736129088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31.999525070520303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17.2</v>
      </c>
      <c r="N170" s="14">
        <f>IF('Données projet'!$A$36&gt;35,N169+M170-V169,IF(A170&lt;'Données projet'!$A$36,$K$205^A170,IF(A170='Données projet'!$A$36,'Données projet'!$B$36,N169+M170-V169)))</f>
        <v>396.39999999999952</v>
      </c>
      <c r="O170" s="14">
        <f>N170*VLOOKUP('Données projet'!$B$9,Paramètres!$A$1:$I$89,3,0)*VLOOKUP('Données projet'!$B$9,Paramètres!$A$1:$I$89,5,0)</f>
        <v>358.66271999999952</v>
      </c>
      <c r="P170" s="14">
        <f t="shared" si="141"/>
        <v>83.343709154408032</v>
      </c>
      <c r="Q170" s="22">
        <f t="shared" si="162"/>
        <v>769.82786411059317</v>
      </c>
      <c r="R170" s="62">
        <f t="shared" si="109"/>
        <v>1063.1611974439265</v>
      </c>
      <c r="S170" s="62">
        <f ca="1">AVERAGE(OFFSET($R$3,0,0,'Données projet'!$E$9+1,1))-AVERAGE(OFFSET($H$3,0,0,'Données projet'!$E$9+1,1))</f>
        <v>430.41482167204606</v>
      </c>
      <c r="T170" s="62">
        <f t="shared" si="142"/>
        <v>177.02794100524551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56.618000191094438</v>
      </c>
      <c r="AA170" s="23">
        <f>EXP(-LN(2)/25)*AA169+(1-EXP(-LN(2)/25))/(LN(2)/25)*Calculateur!V170*Calculateur!X170*VLOOKUP('Données projet'!$B$9,Paramètres!$A$1:$I$89,3,0)*0.475*44/12</f>
        <v>22.318174974580462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78.936175165674896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1.2710188457276673E-13</v>
      </c>
      <c r="AK170" s="14">
        <f t="shared" si="164"/>
        <v>1.856866851063998E-12</v>
      </c>
      <c r="AL170" s="22">
        <f t="shared" si="165"/>
        <v>3.4554122145673649E-12</v>
      </c>
      <c r="AM170" s="62">
        <f t="shared" si="113"/>
        <v>293.33333333333678</v>
      </c>
      <c r="AN170" s="62">
        <f ca="1">AVERAGE(OFFSET($AM$3,0,0,'Données projet'!$E$10+1,1))-AVERAGE(OFFSET($H$3,0,0,'Données projet'!$E$10+1,1))</f>
        <v>507.43397352006832</v>
      </c>
      <c r="AO170" s="62">
        <f t="shared" si="144"/>
        <v>631.65579929520936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47.409792707198292</v>
      </c>
      <c r="AV170" s="23">
        <f>EXP(-LN(2)/25)*AV169+(1-EXP(-LN(2)/25))/(LN(2)/25)*Calculateur!AQ170*Calculateur!AS170*VLOOKUP('Données projet'!$B$10,Paramètres!$A$1:$I$89,3,0)*0.475*44/12</f>
        <v>2.5427661034192504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49.952558810617546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projet'!$B$11,Paramètres!$A$1:$I$89,3,0)*VLOOKUP('Données projet'!$B$11,Paramètres!$A$1:$I$89,5,0)</f>
        <v>1.3301360013429075E-13</v>
      </c>
      <c r="BF170" s="14">
        <f t="shared" si="167"/>
        <v>1.9329766731057041E-12</v>
      </c>
      <c r="BG170" s="22">
        <f t="shared" si="168"/>
        <v>3.5982663925596575E-12</v>
      </c>
      <c r="BH170" s="62">
        <f t="shared" si="116"/>
        <v>293.3333333333369</v>
      </c>
      <c r="BI170" s="62">
        <f ca="1">AVERAGE(OFFSET($BH$3,0,0,'Données projet'!$E$11+1,1))-AVERAGE(OFFSET($H$3,0,0,'Données projet'!$E$11+1,1))</f>
        <v>357.65167206083379</v>
      </c>
      <c r="BJ170" s="62">
        <f t="shared" si="146"/>
        <v>341.23389735986342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29.117201308888575</v>
      </c>
      <c r="BQ170" s="23">
        <f>EXP(-LN(2)/25)*BQ169+(1-EXP(-LN(2)/25))/(LN(2)/25)*Calculateur!BL170*Calculateur!BN170*VLOOKUP('Données projet'!$B$11,Paramètres!$A$1:$I$89,3,0)*0.475*44/12</f>
        <v>2.2370410882357503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31.354242397124324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17.2</v>
      </c>
      <c r="N171" s="14">
        <f>IF('Données projet'!$A$36&gt;35,N170+M171-V170,IF(A171&lt;'Données projet'!$A$36,$K$205^A171,IF(A171='Données projet'!$A$36,'Données projet'!$B$36,N170+M171-V170)))</f>
        <v>413.59999999999951</v>
      </c>
      <c r="O171" s="14">
        <f>N171*VLOOKUP('Données projet'!$B$9,Paramètres!$A$1:$I$89,3,0)*VLOOKUP('Données projet'!$B$9,Paramètres!$A$1:$I$89,5,0)</f>
        <v>374.22527999999954</v>
      </c>
      <c r="P171" s="14">
        <f t="shared" si="141"/>
        <v>86.531153175871182</v>
      </c>
      <c r="Q171" s="22">
        <f t="shared" si="162"/>
        <v>802.48412111464143</v>
      </c>
      <c r="R171" s="62">
        <f t="shared" si="109"/>
        <v>1095.8174544479748</v>
      </c>
      <c r="S171" s="62">
        <f ca="1">AVERAGE(OFFSET($R$3,0,0,'Données projet'!$E$9+1,1))-AVERAGE(OFFSET($H$3,0,0,'Données projet'!$E$9+1,1))</f>
        <v>430.41482167204606</v>
      </c>
      <c r="T171" s="62">
        <f t="shared" si="142"/>
        <v>177.02794100524551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55.50775574091729</v>
      </c>
      <c r="AA171" s="23">
        <f>EXP(-LN(2)/25)*AA170+(1-EXP(-LN(2)/25))/(LN(2)/25)*Calculateur!V171*Calculateur!X171*VLOOKUP('Données projet'!$B$9,Paramètres!$A$1:$I$89,3,0)*0.475*44/12</f>
        <v>21.707883306238745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77.215639047156031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1.2710188457276673E-13</v>
      </c>
      <c r="AK171" s="14">
        <f t="shared" si="164"/>
        <v>1.856866851063998E-12</v>
      </c>
      <c r="AL171" s="22">
        <f t="shared" si="165"/>
        <v>3.4554122145673649E-12</v>
      </c>
      <c r="AM171" s="62">
        <f t="shared" si="113"/>
        <v>293.33333333333678</v>
      </c>
      <c r="AN171" s="62">
        <f ca="1">AVERAGE(OFFSET($AM$3,0,0,'Données projet'!$E$10+1,1))-AVERAGE(OFFSET($H$3,0,0,'Données projet'!$E$10+1,1))</f>
        <v>507.43397352006832</v>
      </c>
      <c r="AO171" s="62">
        <f t="shared" si="144"/>
        <v>631.65579929520936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46.480115589328356</v>
      </c>
      <c r="AV171" s="23">
        <f>EXP(-LN(2)/25)*AV170+(1-EXP(-LN(2)/25))/(LN(2)/25)*Calculateur!AQ171*Calculateur!AS171*VLOOKUP('Données projet'!$B$10,Paramètres!$A$1:$I$89,3,0)*0.475*44/12</f>
        <v>2.4732340306029932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48.953349619931352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projet'!$B$11,Paramètres!$A$1:$I$89,3,0)*VLOOKUP('Données projet'!$B$11,Paramètres!$A$1:$I$89,5,0)</f>
        <v>1.3301360013429075E-13</v>
      </c>
      <c r="BF171" s="14">
        <f t="shared" si="167"/>
        <v>1.9329766731057041E-12</v>
      </c>
      <c r="BG171" s="22">
        <f t="shared" si="168"/>
        <v>3.5982663925596575E-12</v>
      </c>
      <c r="BH171" s="62">
        <f t="shared" si="116"/>
        <v>293.3333333333369</v>
      </c>
      <c r="BI171" s="62">
        <f ca="1">AVERAGE(OFFSET($BH$3,0,0,'Données projet'!$E$11+1,1))-AVERAGE(OFFSET($H$3,0,0,'Données projet'!$E$11+1,1))</f>
        <v>357.65167206083379</v>
      </c>
      <c r="BJ171" s="62">
        <f t="shared" si="146"/>
        <v>341.23389735986342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28.54623075096044</v>
      </c>
      <c r="BQ171" s="23">
        <f>EXP(-LN(2)/25)*BQ170+(1-EXP(-LN(2)/25))/(LN(2)/25)*Calculateur!BL171*Calculateur!BN171*VLOOKUP('Données projet'!$B$11,Paramètres!$A$1:$I$89,3,0)*0.475*44/12</f>
        <v>2.1758690820370656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30.722099832997507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17.2</v>
      </c>
      <c r="N172" s="14">
        <f>IF('Données projet'!$A$36&gt;35,N171+M172-V171,IF(A172&lt;'Données projet'!$A$36,$K$205^A172,IF(A172='Données projet'!$A$36,'Données projet'!$B$36,N171+M172-V171)))</f>
        <v>430.7999999999995</v>
      </c>
      <c r="O172" s="14">
        <f>N172*VLOOKUP('Données projet'!$B$9,Paramètres!$A$1:$I$89,3,0)*VLOOKUP('Données projet'!$B$9,Paramètres!$A$1:$I$89,5,0)</f>
        <v>389.78783999999951</v>
      </c>
      <c r="P172" s="14">
        <f t="shared" si="141"/>
        <v>89.703200591937403</v>
      </c>
      <c r="Q172" s="22">
        <f t="shared" si="162"/>
        <v>835.11356236429003</v>
      </c>
      <c r="R172" s="62">
        <f t="shared" si="109"/>
        <v>1128.4468956976234</v>
      </c>
      <c r="S172" s="62">
        <f ca="1">AVERAGE(OFFSET($R$3,0,0,'Données projet'!$E$9+1,1))-AVERAGE(OFFSET($H$3,0,0,'Données projet'!$E$9+1,1))</f>
        <v>430.41482167204606</v>
      </c>
      <c r="T172" s="62">
        <f t="shared" si="142"/>
        <v>177.02794100524551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54.419282507225866</v>
      </c>
      <c r="AA172" s="23">
        <f>EXP(-LN(2)/25)*AA171+(1-EXP(-LN(2)/25))/(LN(2)/25)*Calculateur!V172*Calculateur!X172*VLOOKUP('Données projet'!$B$9,Paramètres!$A$1:$I$89,3,0)*0.475*44/12</f>
        <v>21.114280095661677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75.533562602887542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1.2710188457276673E-13</v>
      </c>
      <c r="AK172" s="14">
        <f t="shared" si="164"/>
        <v>1.856866851063998E-12</v>
      </c>
      <c r="AL172" s="22">
        <f t="shared" si="165"/>
        <v>3.4554122145673649E-12</v>
      </c>
      <c r="AM172" s="62">
        <f t="shared" si="113"/>
        <v>293.33333333333678</v>
      </c>
      <c r="AN172" s="62">
        <f ca="1">AVERAGE(OFFSET($AM$3,0,0,'Données projet'!$E$10+1,1))-AVERAGE(OFFSET($H$3,0,0,'Données projet'!$E$10+1,1))</f>
        <v>507.43397352006832</v>
      </c>
      <c r="AO172" s="62">
        <f t="shared" si="144"/>
        <v>631.65579929520936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45.568668872692797</v>
      </c>
      <c r="AV172" s="23">
        <f>EXP(-LN(2)/25)*AV171+(1-EXP(-LN(2)/25))/(LN(2)/25)*Calculateur!AQ172*Calculateur!AS172*VLOOKUP('Données projet'!$B$10,Paramètres!$A$1:$I$89,3,0)*0.475*44/12</f>
        <v>2.4056033159744294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47.974272188667229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projet'!$B$11,Paramètres!$A$1:$I$89,3,0)*VLOOKUP('Données projet'!$B$11,Paramètres!$A$1:$I$89,5,0)</f>
        <v>1.3301360013429075E-13</v>
      </c>
      <c r="BF172" s="14">
        <f t="shared" si="167"/>
        <v>1.9329766731057041E-12</v>
      </c>
      <c r="BG172" s="22">
        <f t="shared" si="168"/>
        <v>3.5982663925596575E-12</v>
      </c>
      <c r="BH172" s="62">
        <f t="shared" si="116"/>
        <v>293.3333333333369</v>
      </c>
      <c r="BI172" s="62">
        <f ca="1">AVERAGE(OFFSET($BH$3,0,0,'Données projet'!$E$11+1,1))-AVERAGE(OFFSET($H$3,0,0,'Données projet'!$E$11+1,1))</f>
        <v>357.65167206083379</v>
      </c>
      <c r="BJ172" s="62">
        <f t="shared" si="146"/>
        <v>341.23389735986342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27.986456577415623</v>
      </c>
      <c r="BQ172" s="23">
        <f>EXP(-LN(2)/25)*BQ171+(1-EXP(-LN(2)/25))/(LN(2)/25)*Calculateur!BL172*Calculateur!BN172*VLOOKUP('Données projet'!$B$11,Paramètres!$A$1:$I$89,3,0)*0.475*44/12</f>
        <v>2.11636982756478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30.102826404980405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>
        <f>VLOOKUP(A173,'Données projet'!$A$35:$I$55,2,0)</f>
        <v>448</v>
      </c>
      <c r="L173" s="13">
        <f>VLOOKUP(A173,'Données projet'!$A$35:$I$55,9,0)</f>
        <v>17.2</v>
      </c>
      <c r="M173" s="13">
        <f t="array" ref="M173">INDEX(L:L,MIN(IF(ISNUMBER(L173:L369),ROW(L173:L369),"")))</f>
        <v>17.2</v>
      </c>
      <c r="N173" s="14">
        <f>IF('Données projet'!$A$36&gt;35,N172+M173-V172,IF(A173&lt;'Données projet'!$A$36,$K$205^A173,IF(A173='Données projet'!$A$36,'Données projet'!$B$36,N172+M173-V172)))</f>
        <v>447.99999999999949</v>
      </c>
      <c r="O173" s="14">
        <f>N173*VLOOKUP('Données projet'!$B$9,Paramètres!$A$1:$I$89,3,0)*VLOOKUP('Données projet'!$B$9,Paramètres!$A$1:$I$89,5,0)</f>
        <v>405.35039999999952</v>
      </c>
      <c r="P173" s="14">
        <f t="shared" si="141"/>
        <v>92.860536455297648</v>
      </c>
      <c r="Q173" s="22">
        <f t="shared" si="162"/>
        <v>867.7173809929759</v>
      </c>
      <c r="R173" s="62">
        <f t="shared" si="109"/>
        <v>1161.0507143263092</v>
      </c>
      <c r="S173" s="62">
        <f ca="1">AVERAGE(OFFSET($R$3,0,0,'Données projet'!$E$9+1,1))-AVERAGE(OFFSET($H$3,0,0,'Données projet'!$E$9+1,1))</f>
        <v>430.41482167204606</v>
      </c>
      <c r="T173" s="62">
        <f t="shared" si="142"/>
        <v>177.02794100524551</v>
      </c>
      <c r="U173" s="16" t="str">
        <f>IF(ISNA(VLOOKUP(A173,'Données projet'!$A$35:$I$55,3,0)),0,VLOOKUP(A173,'Données projet'!$A$35:$I$55,3,0))</f>
        <v>CR</v>
      </c>
      <c r="V173" s="16">
        <f>IF(ISNA(VLOOKUP(A173,'Données projet'!$A$35:$I$55,4,0)),0,VLOOKUP(A173,'Données projet'!$A$35:$I$55,4,0))</f>
        <v>448</v>
      </c>
      <c r="W173" s="17">
        <f>IF(ISNA(VLOOKUP(A173,'Données projet'!$A$35:$I$55,5,0)),0%,VLOOKUP(A173,'Données projet'!$A$35:$I$55,5,0)*VLOOKUP('Données projet'!$B$9,Paramètres!$A$1:$I$89,7,0))</f>
        <v>0.43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246.03638359843225</v>
      </c>
      <c r="AA173" s="23">
        <f>EXP(-LN(2)/25)*AA172+(1-EXP(-LN(2)/25))/(LN(2)/25)*Calculateur!V173*Calculateur!X173*VLOOKUP('Données projet'!$B$9,Paramètres!$A$1:$I$89,3,0)*0.475*44/12</f>
        <v>20.536908996094077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266.57329259452632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1.2710188457276673E-13</v>
      </c>
      <c r="AK173" s="14">
        <f t="shared" si="164"/>
        <v>1.856866851063998E-12</v>
      </c>
      <c r="AL173" s="22">
        <f t="shared" si="165"/>
        <v>3.4554122145673649E-12</v>
      </c>
      <c r="AM173" s="62">
        <f t="shared" si="113"/>
        <v>293.33333333333678</v>
      </c>
      <c r="AN173" s="62">
        <f ca="1">AVERAGE(OFFSET($AM$3,0,0,'Données projet'!$E$10+1,1))-AVERAGE(OFFSET($H$3,0,0,'Données projet'!$E$10+1,1))</f>
        <v>507.43397352006832</v>
      </c>
      <c r="AO173" s="62">
        <f t="shared" si="144"/>
        <v>631.65579929520936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44.675095070242861</v>
      </c>
      <c r="AV173" s="23">
        <f>EXP(-LN(2)/25)*AV172+(1-EXP(-LN(2)/25))/(LN(2)/25)*Calculateur!AQ173*Calculateur!AS173*VLOOKUP('Données projet'!$B$10,Paramètres!$A$1:$I$89,3,0)*0.475*44/12</f>
        <v>2.3398219667939282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47.014917037036788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projet'!$B$11,Paramètres!$A$1:$I$89,3,0)*VLOOKUP('Données projet'!$B$11,Paramètres!$A$1:$I$89,5,0)</f>
        <v>1.3301360013429075E-13</v>
      </c>
      <c r="BF173" s="14">
        <f t="shared" si="167"/>
        <v>1.9329766731057041E-12</v>
      </c>
      <c r="BG173" s="22">
        <f t="shared" si="168"/>
        <v>3.5982663925596575E-12</v>
      </c>
      <c r="BH173" s="62">
        <f t="shared" si="116"/>
        <v>293.3333333333369</v>
      </c>
      <c r="BI173" s="62">
        <f ca="1">AVERAGE(OFFSET($BH$3,0,0,'Données projet'!$E$11+1,1))-AVERAGE(OFFSET($H$3,0,0,'Données projet'!$E$11+1,1))</f>
        <v>357.65167206083379</v>
      </c>
      <c r="BJ173" s="62">
        <f t="shared" si="146"/>
        <v>341.23389735986342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27.437659233985489</v>
      </c>
      <c r="BQ173" s="23">
        <f>EXP(-LN(2)/25)*BQ172+(1-EXP(-LN(2)/25))/(LN(2)/25)*Calculateur!BL173*Calculateur!BN173*VLOOKUP('Données projet'!$B$11,Paramètres!$A$1:$I$89,3,0)*0.475*44/12</f>
        <v>2.0584975833349688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29.496156817320458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-4.6288732846733184E-13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430.41482167204606</v>
      </c>
      <c r="T174" s="62">
        <f t="shared" si="142"/>
        <v>177.02794100524551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241.21176018344306</v>
      </c>
      <c r="AA174" s="23">
        <f>EXP(-LN(2)/25)*AA173+(1-EXP(-LN(2)/25))/(LN(2)/25)*Calculateur!V174*Calculateur!X174*VLOOKUP('Données projet'!$B$9,Paramètres!$A$1:$I$89,3,0)*0.475*44/12</f>
        <v>19.975326139606778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261.18708632304981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1.2710188457276673E-13</v>
      </c>
      <c r="AK174" s="14">
        <f t="shared" si="164"/>
        <v>1.856866851063998E-12</v>
      </c>
      <c r="AL174" s="22">
        <f t="shared" si="165"/>
        <v>3.4554122145673649E-12</v>
      </c>
      <c r="AM174" s="62">
        <f t="shared" si="113"/>
        <v>293.33333333333678</v>
      </c>
      <c r="AN174" s="62">
        <f ca="1">AVERAGE(OFFSET($AM$3,0,0,'Données projet'!$E$10+1,1))-AVERAGE(OFFSET($H$3,0,0,'Données projet'!$E$10+1,1))</f>
        <v>507.43397352006832</v>
      </c>
      <c r="AO174" s="62">
        <f t="shared" si="144"/>
        <v>631.65579929520936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43.799043705032766</v>
      </c>
      <c r="AV174" s="23">
        <f>EXP(-LN(2)/25)*AV173+(1-EXP(-LN(2)/25))/(LN(2)/25)*Calculateur!AQ174*Calculateur!AS174*VLOOKUP('Données projet'!$B$10,Paramètres!$A$1:$I$89,3,0)*0.475*44/12</f>
        <v>2.2758394120660586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46.074883117098821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projet'!$B$11,Paramètres!$A$1:$I$89,3,0)*VLOOKUP('Données projet'!$B$11,Paramètres!$A$1:$I$89,5,0)</f>
        <v>1.3301360013429075E-13</v>
      </c>
      <c r="BF174" s="14">
        <f t="shared" si="167"/>
        <v>1.9329766731057041E-12</v>
      </c>
      <c r="BG174" s="22">
        <f t="shared" si="168"/>
        <v>3.5982663925596575E-12</v>
      </c>
      <c r="BH174" s="62">
        <f t="shared" si="116"/>
        <v>293.3333333333369</v>
      </c>
      <c r="BI174" s="62">
        <f ca="1">AVERAGE(OFFSET($BH$3,0,0,'Données projet'!$E$11+1,1))-AVERAGE(OFFSET($H$3,0,0,'Données projet'!$E$11+1,1))</f>
        <v>357.65167206083379</v>
      </c>
      <c r="BJ174" s="62">
        <f t="shared" si="146"/>
        <v>341.23389735986342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26.899623471726692</v>
      </c>
      <c r="BQ174" s="23">
        <f>EXP(-LN(2)/25)*BQ173+(1-EXP(-LN(2)/25))/(LN(2)/25)*Calculateur!BL174*Calculateur!BN174*VLOOKUP('Données projet'!$B$11,Paramètres!$A$1:$I$89,3,0)*0.475*44/12</f>
        <v>2.0022078586669911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28.901831330393684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-4.6288732846733184E-13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430.41482167204606</v>
      </c>
      <c r="T175" s="62">
        <f t="shared" si="142"/>
        <v>177.02794100524551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236.4817446908921</v>
      </c>
      <c r="AA175" s="23">
        <f>EXP(-LN(2)/25)*AA174+(1-EXP(-LN(2)/25))/(LN(2)/25)*Calculateur!V175*Calculateur!X175*VLOOKUP('Données projet'!$B$9,Paramètres!$A$1:$I$89,3,0)*0.475*44/12</f>
        <v>19.429099795862484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255.91084448675457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1.2710188457276673E-13</v>
      </c>
      <c r="AK175" s="14">
        <f t="shared" si="164"/>
        <v>1.856866851063998E-12</v>
      </c>
      <c r="AL175" s="22">
        <f t="shared" si="165"/>
        <v>3.4554122145673649E-12</v>
      </c>
      <c r="AM175" s="62">
        <f t="shared" si="113"/>
        <v>293.33333333333678</v>
      </c>
      <c r="AN175" s="62">
        <f ca="1">AVERAGE(OFFSET($AM$3,0,0,'Données projet'!$E$10+1,1))-AVERAGE(OFFSET($H$3,0,0,'Données projet'!$E$10+1,1))</f>
        <v>507.43397352006832</v>
      </c>
      <c r="AO175" s="62">
        <f t="shared" si="144"/>
        <v>631.65579929520936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42.940171172755868</v>
      </c>
      <c r="AV175" s="23">
        <f>EXP(-LN(2)/25)*AV174+(1-EXP(-LN(2)/25))/(LN(2)/25)*Calculateur!AQ175*Calculateur!AS175*VLOOKUP('Données projet'!$B$10,Paramètres!$A$1:$I$89,3,0)*0.475*44/12</f>
        <v>2.213606463661919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45.153777636417786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projet'!$B$11,Paramètres!$A$1:$I$89,3,0)*VLOOKUP('Données projet'!$B$11,Paramètres!$A$1:$I$89,5,0)</f>
        <v>1.3301360013429075E-13</v>
      </c>
      <c r="BF175" s="14">
        <f t="shared" si="167"/>
        <v>1.9329766731057041E-12</v>
      </c>
      <c r="BG175" s="22">
        <f t="shared" si="168"/>
        <v>3.5982663925596575E-12</v>
      </c>
      <c r="BH175" s="62">
        <f t="shared" si="116"/>
        <v>293.3333333333369</v>
      </c>
      <c r="BI175" s="62">
        <f ca="1">AVERAGE(OFFSET($BH$3,0,0,'Données projet'!$E$11+1,1))-AVERAGE(OFFSET($H$3,0,0,'Données projet'!$E$11+1,1))</f>
        <v>357.65167206083379</v>
      </c>
      <c r="BJ175" s="62">
        <f t="shared" si="146"/>
        <v>341.23389735986342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26.372138262596376</v>
      </c>
      <c r="BQ175" s="23">
        <f>EXP(-LN(2)/25)*BQ174+(1-EXP(-LN(2)/25))/(LN(2)/25)*Calculateur!BL175*Calculateur!BN175*VLOOKUP('Données projet'!$B$11,Paramètres!$A$1:$I$89,3,0)*0.475*44/12</f>
        <v>1.947457379480207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28.319595642076582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-4.6288732846733184E-13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430.41482167204606</v>
      </c>
      <c r="T176" s="62">
        <f t="shared" si="142"/>
        <v>177.02794100524551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231.84448191712548</v>
      </c>
      <c r="AA176" s="23">
        <f>EXP(-LN(2)/25)*AA175+(1-EXP(-LN(2)/25))/(LN(2)/25)*Calculateur!V176*Calculateur!X176*VLOOKUP('Données projet'!$B$9,Paramètres!$A$1:$I$89,3,0)*0.475*44/12</f>
        <v>18.897810040212672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250.74229195733815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1.2710188457276673E-13</v>
      </c>
      <c r="AK176" s="14">
        <f t="shared" si="164"/>
        <v>1.856866851063998E-12</v>
      </c>
      <c r="AL176" s="22">
        <f t="shared" si="165"/>
        <v>3.4554122145673649E-12</v>
      </c>
      <c r="AM176" s="62">
        <f t="shared" si="113"/>
        <v>293.33333333333678</v>
      </c>
      <c r="AN176" s="62">
        <f ca="1">AVERAGE(OFFSET($AM$3,0,0,'Données projet'!$E$10+1,1))-AVERAGE(OFFSET($H$3,0,0,'Données projet'!$E$10+1,1))</f>
        <v>507.43397352006832</v>
      </c>
      <c r="AO176" s="62">
        <f t="shared" si="144"/>
        <v>631.65579929520936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42.098140606976401</v>
      </c>
      <c r="AV176" s="23">
        <f>EXP(-LN(2)/25)*AV175+(1-EXP(-LN(2)/25))/(LN(2)/25)*Calculateur!AQ176*Calculateur!AS176*VLOOKUP('Données projet'!$B$10,Paramètres!$A$1:$I$89,3,0)*0.475*44/12</f>
        <v>2.1530752785045792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44.251215885480981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projet'!$B$11,Paramètres!$A$1:$I$89,3,0)*VLOOKUP('Données projet'!$B$11,Paramètres!$A$1:$I$89,5,0)</f>
        <v>1.3301360013429075E-13</v>
      </c>
      <c r="BF176" s="14">
        <f t="shared" si="167"/>
        <v>1.9329766731057041E-12</v>
      </c>
      <c r="BG176" s="22">
        <f t="shared" si="168"/>
        <v>3.5982663925596575E-12</v>
      </c>
      <c r="BH176" s="62">
        <f t="shared" si="116"/>
        <v>293.3333333333369</v>
      </c>
      <c r="BI176" s="62">
        <f ca="1">AVERAGE(OFFSET($BH$3,0,0,'Données projet'!$E$11+1,1))-AVERAGE(OFFSET($H$3,0,0,'Données projet'!$E$11+1,1))</f>
        <v>357.65167206083379</v>
      </c>
      <c r="BJ176" s="62">
        <f t="shared" si="146"/>
        <v>341.23389735986342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25.854996716682898</v>
      </c>
      <c r="BQ176" s="23">
        <f>EXP(-LN(2)/25)*BQ175+(1-EXP(-LN(2)/25))/(LN(2)/25)*Calculateur!BL176*Calculateur!BN176*VLOOKUP('Données projet'!$B$11,Paramètres!$A$1:$I$89,3,0)*0.475*44/12</f>
        <v>1.8942040550259882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27.749200771708885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-4.6288732846733184E-13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430.41482167204606</v>
      </c>
      <c r="T177" s="62">
        <f t="shared" si="142"/>
        <v>177.02794100524551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227.29815303790141</v>
      </c>
      <c r="AA177" s="23">
        <f>EXP(-LN(2)/25)*AA176+(1-EXP(-LN(2)/25))/(LN(2)/25)*Calculateur!V177*Calculateur!X177*VLOOKUP('Données projet'!$B$9,Paramètres!$A$1:$I$89,3,0)*0.475*44/12</f>
        <v>18.381048430870418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245.67920146877182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1.2710188457276673E-13</v>
      </c>
      <c r="AK177" s="14">
        <f t="shared" si="164"/>
        <v>1.856866851063998E-12</v>
      </c>
      <c r="AL177" s="22">
        <f t="shared" si="165"/>
        <v>3.4554122145673649E-12</v>
      </c>
      <c r="AM177" s="62">
        <f t="shared" si="113"/>
        <v>293.33333333333678</v>
      </c>
      <c r="AN177" s="62">
        <f ca="1">AVERAGE(OFFSET($AM$3,0,0,'Données projet'!$E$10+1,1))-AVERAGE(OFFSET($H$3,0,0,'Données projet'!$E$10+1,1))</f>
        <v>507.43397352006832</v>
      </c>
      <c r="AO177" s="62">
        <f t="shared" si="144"/>
        <v>631.65579929520936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41.272621747003939</v>
      </c>
      <c r="AV177" s="23">
        <f>EXP(-LN(2)/25)*AV176+(1-EXP(-LN(2)/25))/(LN(2)/25)*Calculateur!AQ177*Calculateur!AS177*VLOOKUP('Données projet'!$B$10,Paramètres!$A$1:$I$89,3,0)*0.475*44/12</f>
        <v>2.0941993217885635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43.366821068792504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projet'!$B$11,Paramètres!$A$1:$I$89,3,0)*VLOOKUP('Données projet'!$B$11,Paramètres!$A$1:$I$89,5,0)</f>
        <v>1.3301360013429075E-13</v>
      </c>
      <c r="BF177" s="14">
        <f t="shared" si="167"/>
        <v>1.9329766731057041E-12</v>
      </c>
      <c r="BG177" s="22">
        <f t="shared" si="168"/>
        <v>3.5982663925596575E-12</v>
      </c>
      <c r="BH177" s="62">
        <f t="shared" si="116"/>
        <v>293.3333333333369</v>
      </c>
      <c r="BI177" s="62">
        <f ca="1">AVERAGE(OFFSET($BH$3,0,0,'Données projet'!$E$11+1,1))-AVERAGE(OFFSET($H$3,0,0,'Données projet'!$E$11+1,1))</f>
        <v>357.65167206083379</v>
      </c>
      <c r="BJ177" s="62">
        <f t="shared" si="146"/>
        <v>341.23389735986342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25.347996001059585</v>
      </c>
      <c r="BQ177" s="23">
        <f>EXP(-LN(2)/25)*BQ176+(1-EXP(-LN(2)/25))/(LN(2)/25)*Calculateur!BL177*Calculateur!BN177*VLOOKUP('Données projet'!$B$11,Paramètres!$A$1:$I$89,3,0)*0.475*44/12</f>
        <v>1.8424069455294405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27.190402946589025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-4.6288732846733184E-13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430.41482167204606</v>
      </c>
      <c r="T178" s="62">
        <f t="shared" si="142"/>
        <v>177.02794100524551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222.84097489501212</v>
      </c>
      <c r="AA178" s="23">
        <f>EXP(-LN(2)/25)*AA177+(1-EXP(-LN(2)/25))/(LN(2)/25)*Calculateur!V178*Calculateur!X178*VLOOKUP('Données projet'!$B$9,Paramètres!$A$1:$I$89,3,0)*0.475*44/12</f>
        <v>17.87841769491094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240.71939258992307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1.2710188457276673E-13</v>
      </c>
      <c r="AK178" s="14">
        <f t="shared" si="164"/>
        <v>1.856866851063998E-12</v>
      </c>
      <c r="AL178" s="22">
        <f t="shared" si="165"/>
        <v>3.4554122145673649E-12</v>
      </c>
      <c r="AM178" s="62">
        <f t="shared" si="113"/>
        <v>293.33333333333678</v>
      </c>
      <c r="AN178" s="62">
        <f ca="1">AVERAGE(OFFSET($AM$3,0,0,'Données projet'!$E$10+1,1))-AVERAGE(OFFSET($H$3,0,0,'Données projet'!$E$10+1,1))</f>
        <v>507.43397352006832</v>
      </c>
      <c r="AO178" s="62">
        <f t="shared" si="144"/>
        <v>631.65579929520936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40.463290808358749</v>
      </c>
      <c r="AV178" s="23">
        <f>EXP(-LN(2)/25)*AV177+(1-EXP(-LN(2)/25))/(LN(2)/25)*Calculateur!AQ178*Calculateur!AS178*VLOOKUP('Données projet'!$B$10,Paramètres!$A$1:$I$89,3,0)*0.475*44/12</f>
        <v>2.0369333312050992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42.500224139563848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projet'!$B$11,Paramètres!$A$1:$I$89,3,0)*VLOOKUP('Données projet'!$B$11,Paramètres!$A$1:$I$89,5,0)</f>
        <v>1.3301360013429075E-13</v>
      </c>
      <c r="BF178" s="14">
        <f t="shared" si="167"/>
        <v>1.9329766731057041E-12</v>
      </c>
      <c r="BG178" s="22">
        <f t="shared" si="168"/>
        <v>3.5982663925596575E-12</v>
      </c>
      <c r="BH178" s="62">
        <f t="shared" si="116"/>
        <v>293.3333333333369</v>
      </c>
      <c r="BI178" s="62">
        <f ca="1">AVERAGE(OFFSET($BH$3,0,0,'Données projet'!$E$11+1,1))-AVERAGE(OFFSET($H$3,0,0,'Données projet'!$E$11+1,1))</f>
        <v>357.65167206083379</v>
      </c>
      <c r="BJ178" s="62">
        <f t="shared" si="146"/>
        <v>341.23389735986342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24.850937260229745</v>
      </c>
      <c r="BQ178" s="23">
        <f>EXP(-LN(2)/25)*BQ177+(1-EXP(-LN(2)/25))/(LN(2)/25)*Calculateur!BL178*Calculateur!BN178*VLOOKUP('Données projet'!$B$11,Paramètres!$A$1:$I$89,3,0)*0.475*44/12</f>
        <v>1.7920262307159676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26.642963490945714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-4.6288732846733184E-13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430.41482167204606</v>
      </c>
      <c r="T179" s="62">
        <f t="shared" si="142"/>
        <v>177.02794100524551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218.47119929689467</v>
      </c>
      <c r="AA179" s="23">
        <f>EXP(-LN(2)/25)*AA178+(1-EXP(-LN(2)/25))/(LN(2)/25)*Calculateur!V179*Calculateur!X179*VLOOKUP('Données projet'!$B$9,Paramètres!$A$1:$I$89,3,0)*0.475*44/12</f>
        <v>17.389531422858475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235.86073071975315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1.2710188457276673E-13</v>
      </c>
      <c r="AK179" s="14">
        <f t="shared" si="164"/>
        <v>1.856866851063998E-12</v>
      </c>
      <c r="AL179" s="22">
        <f t="shared" si="165"/>
        <v>3.4554122145673649E-12</v>
      </c>
      <c r="AM179" s="62">
        <f t="shared" si="113"/>
        <v>293.33333333333678</v>
      </c>
      <c r="AN179" s="62">
        <f ca="1">AVERAGE(OFFSET($AM$3,0,0,'Données projet'!$E$10+1,1))-AVERAGE(OFFSET($H$3,0,0,'Données projet'!$E$10+1,1))</f>
        <v>507.43397352006832</v>
      </c>
      <c r="AO179" s="62">
        <f t="shared" si="144"/>
        <v>631.65579929520936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39.669830355777265</v>
      </c>
      <c r="AV179" s="23">
        <f>EXP(-LN(2)/25)*AV178+(1-EXP(-LN(2)/25))/(LN(2)/25)*Calculateur!AQ179*Calculateur!AS179*VLOOKUP('Données projet'!$B$10,Paramètres!$A$1:$I$89,3,0)*0.475*44/12</f>
        <v>1.9812332821456273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41.651063637922888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projet'!$B$11,Paramètres!$A$1:$I$89,3,0)*VLOOKUP('Données projet'!$B$11,Paramètres!$A$1:$I$89,5,0)</f>
        <v>1.3301360013429075E-13</v>
      </c>
      <c r="BF179" s="14">
        <f t="shared" si="167"/>
        <v>1.9329766731057041E-12</v>
      </c>
      <c r="BG179" s="22">
        <f t="shared" si="168"/>
        <v>3.5982663925596575E-12</v>
      </c>
      <c r="BH179" s="62">
        <f t="shared" si="116"/>
        <v>293.3333333333369</v>
      </c>
      <c r="BI179" s="62">
        <f ca="1">AVERAGE(OFFSET($BH$3,0,0,'Données projet'!$E$11+1,1))-AVERAGE(OFFSET($H$3,0,0,'Données projet'!$E$11+1,1))</f>
        <v>357.65167206083379</v>
      </c>
      <c r="BJ179" s="62">
        <f t="shared" si="146"/>
        <v>341.23389735986342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24.363625538131682</v>
      </c>
      <c r="BQ179" s="23">
        <f>EXP(-LN(2)/25)*BQ178+(1-EXP(-LN(2)/25))/(LN(2)/25)*Calculateur!BL179*Calculateur!BN179*VLOOKUP('Données projet'!$B$11,Paramètres!$A$1:$I$89,3,0)*0.475*44/12</f>
        <v>1.7430231791984756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26.10664871733016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-4.6288732846733184E-13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430.41482167204606</v>
      </c>
      <c r="T180" s="62">
        <f t="shared" si="142"/>
        <v>177.02794100524551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214.18711233295636</v>
      </c>
      <c r="AA180" s="23">
        <f>EXP(-LN(2)/25)*AA179+(1-EXP(-LN(2)/25))/(LN(2)/25)*Calculateur!V180*Calculateur!X180*VLOOKUP('Données projet'!$B$9,Paramètres!$A$1:$I$89,3,0)*0.475*44/12</f>
        <v>16.914013771624695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231.10112610458106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1.2710188457276673E-13</v>
      </c>
      <c r="AK180" s="14">
        <f t="shared" si="164"/>
        <v>1.856866851063998E-12</v>
      </c>
      <c r="AL180" s="22">
        <f t="shared" si="165"/>
        <v>3.4554122145673649E-12</v>
      </c>
      <c r="AM180" s="62">
        <f t="shared" si="113"/>
        <v>293.33333333333678</v>
      </c>
      <c r="AN180" s="62">
        <f ca="1">AVERAGE(OFFSET($AM$3,0,0,'Données projet'!$E$10+1,1))-AVERAGE(OFFSET($H$3,0,0,'Données projet'!$E$10+1,1))</f>
        <v>507.43397352006832</v>
      </c>
      <c r="AO180" s="62">
        <f t="shared" si="144"/>
        <v>631.65579929520936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38.891929178707812</v>
      </c>
      <c r="AV180" s="23">
        <f>EXP(-LN(2)/25)*AV179+(1-EXP(-LN(2)/25))/(LN(2)/25)*Calculateur!AQ180*Calculateur!AS180*VLOOKUP('Données projet'!$B$10,Paramètres!$A$1:$I$89,3,0)*0.475*44/12</f>
        <v>1.9270563538568251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40.818985532564639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projet'!$B$11,Paramètres!$A$1:$I$89,3,0)*VLOOKUP('Données projet'!$B$11,Paramètres!$A$1:$I$89,5,0)</f>
        <v>1.3301360013429075E-13</v>
      </c>
      <c r="BF180" s="14">
        <f t="shared" si="167"/>
        <v>1.9329766731057041E-12</v>
      </c>
      <c r="BG180" s="22">
        <f t="shared" si="168"/>
        <v>3.5982663925596575E-12</v>
      </c>
      <c r="BH180" s="62">
        <f t="shared" si="116"/>
        <v>293.3333333333369</v>
      </c>
      <c r="BI180" s="62">
        <f ca="1">AVERAGE(OFFSET($BH$3,0,0,'Données projet'!$E$11+1,1))-AVERAGE(OFFSET($H$3,0,0,'Données projet'!$E$11+1,1))</f>
        <v>357.65167206083379</v>
      </c>
      <c r="BJ180" s="62">
        <f t="shared" si="146"/>
        <v>341.23389735986342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23.885869701673162</v>
      </c>
      <c r="BQ180" s="23">
        <f>EXP(-LN(2)/25)*BQ179+(1-EXP(-LN(2)/25))/(LN(2)/25)*Calculateur!BL180*Calculateur!BN180*VLOOKUP('Données projet'!$B$11,Paramètres!$A$1:$I$89,3,0)*0.475*44/12</f>
        <v>1.695360118701688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25.581229820374851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-4.6288732846733184E-13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430.41482167204606</v>
      </c>
      <c r="T181" s="62">
        <f t="shared" si="142"/>
        <v>177.02794100524551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209.98703370134587</v>
      </c>
      <c r="AA181" s="23">
        <f>EXP(-LN(2)/25)*AA180+(1-EXP(-LN(2)/25))/(LN(2)/25)*Calculateur!V181*Calculateur!X181*VLOOKUP('Données projet'!$B$9,Paramètres!$A$1:$I$89,3,0)*0.475*44/12</f>
        <v>16.451499175570291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226.43853287691616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1.2710188457276673E-13</v>
      </c>
      <c r="AK181" s="14">
        <f t="shared" si="164"/>
        <v>1.856866851063998E-12</v>
      </c>
      <c r="AL181" s="22">
        <f t="shared" si="165"/>
        <v>3.4554122145673649E-12</v>
      </c>
      <c r="AM181" s="62">
        <f t="shared" si="113"/>
        <v>293.33333333333678</v>
      </c>
      <c r="AN181" s="62">
        <f ca="1">AVERAGE(OFFSET($AM$3,0,0,'Données projet'!$E$10+1,1))-AVERAGE(OFFSET($H$3,0,0,'Données projet'!$E$10+1,1))</f>
        <v>507.43397352006832</v>
      </c>
      <c r="AO181" s="62">
        <f t="shared" si="144"/>
        <v>631.65579929520936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38.129282169247823</v>
      </c>
      <c r="AV181" s="23">
        <f>EXP(-LN(2)/25)*AV180+(1-EXP(-LN(2)/25))/(LN(2)/25)*Calculateur!AQ181*Calculateur!AS181*VLOOKUP('Données projet'!$B$10,Paramètres!$A$1:$I$89,3,0)*0.475*44/12</f>
        <v>1.8743608965211209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40.003643065768941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projet'!$B$11,Paramètres!$A$1:$I$89,3,0)*VLOOKUP('Données projet'!$B$11,Paramètres!$A$1:$I$89,5,0)</f>
        <v>1.3301360013429075E-13</v>
      </c>
      <c r="BF181" s="14">
        <f t="shared" si="167"/>
        <v>1.9329766731057041E-12</v>
      </c>
      <c r="BG181" s="22">
        <f t="shared" si="168"/>
        <v>3.5982663925596575E-12</v>
      </c>
      <c r="BH181" s="62">
        <f t="shared" si="116"/>
        <v>293.3333333333369</v>
      </c>
      <c r="BI181" s="62">
        <f ca="1">AVERAGE(OFFSET($BH$3,0,0,'Données projet'!$E$11+1,1))-AVERAGE(OFFSET($H$3,0,0,'Données projet'!$E$11+1,1))</f>
        <v>357.65167206083379</v>
      </c>
      <c r="BJ181" s="62">
        <f t="shared" si="146"/>
        <v>341.23389735986342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23.417482365765306</v>
      </c>
      <c r="BQ181" s="23">
        <f>EXP(-LN(2)/25)*BQ180+(1-EXP(-LN(2)/25))/(LN(2)/25)*Calculateur!BL181*Calculateur!BN181*VLOOKUP('Données projet'!$B$11,Paramètres!$A$1:$I$89,3,0)*0.475*44/12</f>
        <v>1.6490004071006765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25.066482772865982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-4.6288732846733184E-13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430.41482167204606</v>
      </c>
      <c r="T182" s="62">
        <f t="shared" si="142"/>
        <v>177.02794100524551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205.86931604990625</v>
      </c>
      <c r="AA182" s="23">
        <f>EXP(-LN(2)/25)*AA181+(1-EXP(-LN(2)/25))/(LN(2)/25)*Calculateur!V182*Calculateur!X182*VLOOKUP('Données projet'!$B$9,Paramètres!$A$1:$I$89,3,0)*0.475*44/12</f>
        <v>16.001632065467579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221.87094811537384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1.2710188457276673E-13</v>
      </c>
      <c r="AK182" s="14">
        <f t="shared" si="164"/>
        <v>1.856866851063998E-12</v>
      </c>
      <c r="AL182" s="22">
        <f t="shared" si="165"/>
        <v>3.4554122145673649E-12</v>
      </c>
      <c r="AM182" s="62">
        <f t="shared" si="113"/>
        <v>293.33333333333678</v>
      </c>
      <c r="AN182" s="62">
        <f ca="1">AVERAGE(OFFSET($AM$3,0,0,'Données projet'!$E$10+1,1))-AVERAGE(OFFSET($H$3,0,0,'Données projet'!$E$10+1,1))</f>
        <v>507.43397352006832</v>
      </c>
      <c r="AO182" s="62">
        <f t="shared" si="144"/>
        <v>631.65579929520936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37.381590202474598</v>
      </c>
      <c r="AV182" s="23">
        <f>EXP(-LN(2)/25)*AV181+(1-EXP(-LN(2)/25))/(LN(2)/25)*Calculateur!AQ182*Calculateur!AS182*VLOOKUP('Données projet'!$B$10,Paramètres!$A$1:$I$89,3,0)*0.475*44/12</f>
        <v>1.8231063992373953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39.204696601711994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projet'!$B$11,Paramètres!$A$1:$I$89,3,0)*VLOOKUP('Données projet'!$B$11,Paramètres!$A$1:$I$89,5,0)</f>
        <v>1.3301360013429075E-13</v>
      </c>
      <c r="BF182" s="14">
        <f t="shared" si="167"/>
        <v>1.9329766731057041E-12</v>
      </c>
      <c r="BG182" s="22">
        <f t="shared" si="168"/>
        <v>3.5982663925596575E-12</v>
      </c>
      <c r="BH182" s="62">
        <f t="shared" si="116"/>
        <v>293.3333333333369</v>
      </c>
      <c r="BI182" s="62">
        <f ca="1">AVERAGE(OFFSET($BH$3,0,0,'Données projet'!$E$11+1,1))-AVERAGE(OFFSET($H$3,0,0,'Données projet'!$E$11+1,1))</f>
        <v>357.65167206083379</v>
      </c>
      <c r="BJ182" s="62">
        <f t="shared" si="146"/>
        <v>341.23389735986342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22.958279819826537</v>
      </c>
      <c r="BQ182" s="23">
        <f>EXP(-LN(2)/25)*BQ181+(1-EXP(-LN(2)/25))/(LN(2)/25)*Calculateur!BL182*Calculateur!BN182*VLOOKUP('Données projet'!$B$11,Paramètres!$A$1:$I$89,3,0)*0.475*44/12</f>
        <v>1.6039084042513461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24.562188224077882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-4.6288732846733184E-13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430.41482167204606</v>
      </c>
      <c r="T183" s="62">
        <f t="shared" si="142"/>
        <v>177.02794100524551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201.83234433005157</v>
      </c>
      <c r="AA183" s="23">
        <f>EXP(-LN(2)/25)*AA182+(1-EXP(-LN(2)/25))/(LN(2)/25)*Calculateur!V183*Calculateur!X183*VLOOKUP('Données projet'!$B$9,Paramètres!$A$1:$I$89,3,0)*0.475*44/12</f>
        <v>15.564066595148109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217.39641092519969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1.2710188457276673E-13</v>
      </c>
      <c r="AK183" s="14">
        <f t="shared" si="164"/>
        <v>1.856866851063998E-12</v>
      </c>
      <c r="AL183" s="22">
        <f t="shared" si="165"/>
        <v>3.4554122145673649E-12</v>
      </c>
      <c r="AM183" s="62">
        <f t="shared" si="113"/>
        <v>293.33333333333678</v>
      </c>
      <c r="AN183" s="62">
        <f ca="1">AVERAGE(OFFSET($AM$3,0,0,'Données projet'!$E$10+1,1))-AVERAGE(OFFSET($H$3,0,0,'Données projet'!$E$10+1,1))</f>
        <v>507.43397352006832</v>
      </c>
      <c r="AO183" s="62">
        <f t="shared" si="144"/>
        <v>631.65579929520936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36.648560019122733</v>
      </c>
      <c r="AV183" s="23">
        <f>EXP(-LN(2)/25)*AV182+(1-EXP(-LN(2)/25))/(LN(2)/25)*Calculateur!AQ183*Calculateur!AS183*VLOOKUP('Données projet'!$B$10,Paramètres!$A$1:$I$89,3,0)*0.475*44/12</f>
        <v>1.7732534588772499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38.421813477999983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projet'!$B$11,Paramètres!$A$1:$I$89,3,0)*VLOOKUP('Données projet'!$B$11,Paramètres!$A$1:$I$89,5,0)</f>
        <v>1.3301360013429075E-13</v>
      </c>
      <c r="BF183" s="14">
        <f t="shared" si="167"/>
        <v>1.9329766731057041E-12</v>
      </c>
      <c r="BG183" s="22">
        <f t="shared" si="168"/>
        <v>3.5982663925596575E-12</v>
      </c>
      <c r="BH183" s="62">
        <f t="shared" si="116"/>
        <v>293.3333333333369</v>
      </c>
      <c r="BI183" s="62">
        <f ca="1">AVERAGE(OFFSET($BH$3,0,0,'Données projet'!$E$11+1,1))-AVERAGE(OFFSET($H$3,0,0,'Données projet'!$E$11+1,1))</f>
        <v>357.65167206083379</v>
      </c>
      <c r="BJ183" s="62">
        <f t="shared" si="146"/>
        <v>341.23389735986342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22.508081955727729</v>
      </c>
      <c r="BQ183" s="23">
        <f>EXP(-LN(2)/25)*BQ182+(1-EXP(-LN(2)/25))/(LN(2)/25)*Calculateur!BL183*Calculateur!BN183*VLOOKUP('Données projet'!$B$11,Paramètres!$A$1:$I$89,3,0)*0.475*44/12</f>
        <v>1.5600494445912159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24.068131400318943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-4.6288732846733184E-13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430.41482167204606</v>
      </c>
      <c r="T184" s="62">
        <f t="shared" si="142"/>
        <v>177.02794100524551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197.87453516331362</v>
      </c>
      <c r="AA184" s="23">
        <f>EXP(-LN(2)/25)*AA183+(1-EXP(-LN(2)/25))/(LN(2)/25)*Calculateur!V184*Calculateur!X184*VLOOKUP('Données projet'!$B$9,Paramètres!$A$1:$I$89,3,0)*0.475*44/12</f>
        <v>15.138466375625093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213.01300153893871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1.2710188457276673E-13</v>
      </c>
      <c r="AK184" s="14">
        <f t="shared" si="164"/>
        <v>1.856866851063998E-12</v>
      </c>
      <c r="AL184" s="22">
        <f t="shared" si="165"/>
        <v>3.4554122145673649E-12</v>
      </c>
      <c r="AM184" s="62">
        <f t="shared" si="113"/>
        <v>293.33333333333678</v>
      </c>
      <c r="AN184" s="62">
        <f ca="1">AVERAGE(OFFSET($AM$3,0,0,'Données projet'!$E$10+1,1))-AVERAGE(OFFSET($H$3,0,0,'Données projet'!$E$10+1,1))</f>
        <v>507.43397352006832</v>
      </c>
      <c r="AO184" s="62">
        <f t="shared" si="144"/>
        <v>631.65579929520936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35.929904110562134</v>
      </c>
      <c r="AV184" s="23">
        <f>EXP(-LN(2)/25)*AV183+(1-EXP(-LN(2)/25))/(LN(2)/25)*Calculateur!AQ184*Calculateur!AS184*VLOOKUP('Données projet'!$B$10,Paramètres!$A$1:$I$89,3,0)*0.475*44/12</f>
        <v>1.7247637497929049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37.65466786035504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projet'!$B$11,Paramètres!$A$1:$I$89,3,0)*VLOOKUP('Données projet'!$B$11,Paramètres!$A$1:$I$89,5,0)</f>
        <v>1.3301360013429075E-13</v>
      </c>
      <c r="BF184" s="14">
        <f t="shared" si="167"/>
        <v>1.9329766731057041E-12</v>
      </c>
      <c r="BG184" s="22">
        <f t="shared" si="168"/>
        <v>3.5982663925596575E-12</v>
      </c>
      <c r="BH184" s="62">
        <f t="shared" si="116"/>
        <v>293.3333333333369</v>
      </c>
      <c r="BI184" s="62">
        <f ca="1">AVERAGE(OFFSET($BH$3,0,0,'Données projet'!$E$11+1,1))-AVERAGE(OFFSET($H$3,0,0,'Données projet'!$E$11+1,1))</f>
        <v>357.65167206083379</v>
      </c>
      <c r="BJ184" s="62">
        <f t="shared" si="146"/>
        <v>341.23389735986342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22.066712197150316</v>
      </c>
      <c r="BQ184" s="23">
        <f>EXP(-LN(2)/25)*BQ183+(1-EXP(-LN(2)/25))/(LN(2)/25)*Calculateur!BL184*Calculateur!BN184*VLOOKUP('Données projet'!$B$11,Paramètres!$A$1:$I$89,3,0)*0.475*44/12</f>
        <v>1.5173898104894343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23.58410200763975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-4.6288732846733184E-13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430.41482167204606</v>
      </c>
      <c r="T185" s="62">
        <f t="shared" si="142"/>
        <v>177.02794100524551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193.9943362203102</v>
      </c>
      <c r="AA185" s="23">
        <f>EXP(-LN(2)/25)*AA184+(1-EXP(-LN(2)/25))/(LN(2)/25)*Calculateur!V185*Calculateur!X185*VLOOKUP('Données projet'!$B$9,Paramètres!$A$1:$I$89,3,0)*0.475*44/12</f>
        <v>14.724504216486277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208.71884043679648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1.2710188457276673E-13</v>
      </c>
      <c r="AK185" s="14">
        <f t="shared" si="164"/>
        <v>1.856866851063998E-12</v>
      </c>
      <c r="AL185" s="22">
        <f t="shared" si="165"/>
        <v>3.4554122145673649E-12</v>
      </c>
      <c r="AM185" s="62">
        <f t="shared" si="113"/>
        <v>293.33333333333678</v>
      </c>
      <c r="AN185" s="62">
        <f ca="1">AVERAGE(OFFSET($AM$3,0,0,'Données projet'!$E$10+1,1))-AVERAGE(OFFSET($H$3,0,0,'Données projet'!$E$10+1,1))</f>
        <v>507.43397352006832</v>
      </c>
      <c r="AO185" s="62">
        <f t="shared" si="144"/>
        <v>631.65579929520936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35.225340606031587</v>
      </c>
      <c r="AV185" s="23">
        <f>EXP(-LN(2)/25)*AV184+(1-EXP(-LN(2)/25))/(LN(2)/25)*Calculateur!AQ185*Calculateur!AS185*VLOOKUP('Données projet'!$B$10,Paramètres!$A$1:$I$89,3,0)*0.475*44/12</f>
        <v>1.6775999943534343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36.902940600385023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projet'!$B$11,Paramètres!$A$1:$I$89,3,0)*VLOOKUP('Données projet'!$B$11,Paramètres!$A$1:$I$89,5,0)</f>
        <v>1.3301360013429075E-13</v>
      </c>
      <c r="BF185" s="14">
        <f t="shared" si="167"/>
        <v>1.9329766731057041E-12</v>
      </c>
      <c r="BG185" s="22">
        <f t="shared" si="168"/>
        <v>3.5982663925596575E-12</v>
      </c>
      <c r="BH185" s="62">
        <f t="shared" si="116"/>
        <v>293.3333333333369</v>
      </c>
      <c r="BI185" s="62">
        <f ca="1">AVERAGE(OFFSET($BH$3,0,0,'Données projet'!$E$11+1,1))-AVERAGE(OFFSET($H$3,0,0,'Données projet'!$E$11+1,1))</f>
        <v>357.65167206083379</v>
      </c>
      <c r="BJ185" s="62">
        <f t="shared" si="146"/>
        <v>341.23389735986342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21.633997430329636</v>
      </c>
      <c r="BQ185" s="23">
        <f>EXP(-LN(2)/25)*BQ184+(1-EXP(-LN(2)/25))/(LN(2)/25)*Calculateur!BL185*Calculateur!BN185*VLOOKUP('Données projet'!$B$11,Paramètres!$A$1:$I$89,3,0)*0.475*44/12</f>
        <v>1.4758967063255386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23.109894136655175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-4.6288732846733184E-13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430.41482167204606</v>
      </c>
      <c r="T186" s="62">
        <f t="shared" si="142"/>
        <v>177.02794100524551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190.19022561189141</v>
      </c>
      <c r="AA186" s="23">
        <f>EXP(-LN(2)/25)*AA185+(1-EXP(-LN(2)/25))/(LN(2)/25)*Calculateur!V186*Calculateur!X186*VLOOKUP('Données projet'!$B$9,Paramètres!$A$1:$I$89,3,0)*0.475*44/12</f>
        <v>14.321861874358436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204.51208748624984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1.2710188457276673E-13</v>
      </c>
      <c r="AK186" s="14">
        <f t="shared" si="164"/>
        <v>1.856866851063998E-12</v>
      </c>
      <c r="AL186" s="22">
        <f t="shared" si="165"/>
        <v>3.4554122145673649E-12</v>
      </c>
      <c r="AM186" s="62">
        <f t="shared" si="113"/>
        <v>293.33333333333678</v>
      </c>
      <c r="AN186" s="62">
        <f ca="1">AVERAGE(OFFSET($AM$3,0,0,'Données projet'!$E$10+1,1))-AVERAGE(OFFSET($H$3,0,0,'Données projet'!$E$10+1,1))</f>
        <v>507.43397352006832</v>
      </c>
      <c r="AO186" s="62">
        <f t="shared" si="144"/>
        <v>631.65579929520936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34.534593162083574</v>
      </c>
      <c r="AV186" s="23">
        <f>EXP(-LN(2)/25)*AV185+(1-EXP(-LN(2)/25))/(LN(2)/25)*Calculateur!AQ186*Calculateur!AS186*VLOOKUP('Données projet'!$B$10,Paramètres!$A$1:$I$89,3,0)*0.475*44/12</f>
        <v>1.6317259342866901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36.166319096370266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projet'!$B$11,Paramètres!$A$1:$I$89,3,0)*VLOOKUP('Données projet'!$B$11,Paramètres!$A$1:$I$89,5,0)</f>
        <v>1.3301360013429075E-13</v>
      </c>
      <c r="BF186" s="14">
        <f t="shared" si="167"/>
        <v>1.9329766731057041E-12</v>
      </c>
      <c r="BG186" s="22">
        <f t="shared" si="168"/>
        <v>3.5982663925596575E-12</v>
      </c>
      <c r="BH186" s="62">
        <f t="shared" si="116"/>
        <v>293.3333333333369</v>
      </c>
      <c r="BI186" s="62">
        <f ca="1">AVERAGE(OFFSET($BH$3,0,0,'Données projet'!$E$11+1,1))-AVERAGE(OFFSET($H$3,0,0,'Données projet'!$E$11+1,1))</f>
        <v>357.65167206083379</v>
      </c>
      <c r="BJ186" s="62">
        <f t="shared" si="146"/>
        <v>341.23389735986342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21.209767936156364</v>
      </c>
      <c r="BQ186" s="23">
        <f>EXP(-LN(2)/25)*BQ185+(1-EXP(-LN(2)/25))/(LN(2)/25)*Calculateur!BL186*Calculateur!BN186*VLOOKUP('Données projet'!$B$11,Paramètres!$A$1:$I$89,3,0)*0.475*44/12</f>
        <v>1.4355382332770321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22.645306169433397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-4.6288732846733184E-13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430.41482167204606</v>
      </c>
      <c r="T187" s="62">
        <f t="shared" si="142"/>
        <v>177.02794100524551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186.46071129222534</v>
      </c>
      <c r="AA187" s="23">
        <f>EXP(-LN(2)/25)*AA186+(1-EXP(-LN(2)/25))/(LN(2)/25)*Calculateur!V187*Calculateur!X187*VLOOKUP('Données projet'!$B$9,Paramètres!$A$1:$I$89,3,0)*0.475*44/12</f>
        <v>13.930229808250122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200.39094110047546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1.2710188457276673E-13</v>
      </c>
      <c r="AK187" s="14">
        <f t="shared" si="164"/>
        <v>1.856866851063998E-12</v>
      </c>
      <c r="AL187" s="22">
        <f t="shared" si="165"/>
        <v>3.4554122145673649E-12</v>
      </c>
      <c r="AM187" s="62">
        <f t="shared" si="113"/>
        <v>293.33333333333678</v>
      </c>
      <c r="AN187" s="62">
        <f ca="1">AVERAGE(OFFSET($AM$3,0,0,'Données projet'!$E$10+1,1))-AVERAGE(OFFSET($H$3,0,0,'Données projet'!$E$10+1,1))</f>
        <v>507.43397352006832</v>
      </c>
      <c r="AO187" s="62">
        <f t="shared" si="144"/>
        <v>631.65579929520936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33.857390854197043</v>
      </c>
      <c r="AV187" s="23">
        <f>EXP(-LN(2)/25)*AV186+(1-EXP(-LN(2)/25))/(LN(2)/25)*Calculateur!AQ187*Calculateur!AS187*VLOOKUP('Données projet'!$B$10,Paramètres!$A$1:$I$89,3,0)*0.475*44/12</f>
        <v>1.5871063028048831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35.444497157001926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projet'!$B$11,Paramètres!$A$1:$I$89,3,0)*VLOOKUP('Données projet'!$B$11,Paramètres!$A$1:$I$89,5,0)</f>
        <v>1.3301360013429075E-13</v>
      </c>
      <c r="BF187" s="14">
        <f t="shared" si="167"/>
        <v>1.9329766731057041E-12</v>
      </c>
      <c r="BG187" s="22">
        <f t="shared" si="168"/>
        <v>3.5982663925596575E-12</v>
      </c>
      <c r="BH187" s="62">
        <f t="shared" si="116"/>
        <v>293.3333333333369</v>
      </c>
      <c r="BI187" s="62">
        <f ca="1">AVERAGE(OFFSET($BH$3,0,0,'Données projet'!$E$11+1,1))-AVERAGE(OFFSET($H$3,0,0,'Données projet'!$E$11+1,1))</f>
        <v>357.65167206083379</v>
      </c>
      <c r="BJ187" s="62">
        <f t="shared" si="146"/>
        <v>341.23389735986342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20.793857323609387</v>
      </c>
      <c r="BQ187" s="23">
        <f>EXP(-LN(2)/25)*BQ186+(1-EXP(-LN(2)/25))/(LN(2)/25)*Calculateur!BL187*Calculateur!BN187*VLOOKUP('Données projet'!$B$11,Paramètres!$A$1:$I$89,3,0)*0.475*44/12</f>
        <v>1.396283364796397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22.190140688405783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-4.6288732846733184E-13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430.41482167204606</v>
      </c>
      <c r="T188" s="62">
        <f t="shared" si="142"/>
        <v>177.02794100524551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182.80433047358881</v>
      </c>
      <c r="AA188" s="23">
        <f>EXP(-LN(2)/25)*AA187+(1-EXP(-LN(2)/25))/(LN(2)/25)*Calculateur!V188*Calculateur!X188*VLOOKUP('Données projet'!$B$9,Paramètres!$A$1:$I$89,3,0)*0.475*44/12</f>
        <v>13.549306941584575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196.35363741517338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1.2710188457276673E-13</v>
      </c>
      <c r="AK188" s="14">
        <f t="shared" si="164"/>
        <v>1.856866851063998E-12</v>
      </c>
      <c r="AL188" s="22">
        <f t="shared" si="165"/>
        <v>3.4554122145673649E-12</v>
      </c>
      <c r="AM188" s="62">
        <f t="shared" si="113"/>
        <v>293.33333333333678</v>
      </c>
      <c r="AN188" s="62">
        <f ca="1">AVERAGE(OFFSET($AM$3,0,0,'Données projet'!$E$10+1,1))-AVERAGE(OFFSET($H$3,0,0,'Données projet'!$E$10+1,1))</f>
        <v>507.43397352006832</v>
      </c>
      <c r="AO188" s="62">
        <f t="shared" si="144"/>
        <v>631.65579929520936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33.193468070515543</v>
      </c>
      <c r="AV188" s="23">
        <f>EXP(-LN(2)/25)*AV187+(1-EXP(-LN(2)/25))/(LN(2)/25)*Calculateur!AQ188*Calculateur!AS188*VLOOKUP('Données projet'!$B$10,Paramètres!$A$1:$I$89,3,0)*0.475*44/12</f>
        <v>1.5437067974923904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34.737174868007934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projet'!$B$11,Paramètres!$A$1:$I$89,3,0)*VLOOKUP('Données projet'!$B$11,Paramètres!$A$1:$I$89,5,0)</f>
        <v>1.3301360013429075E-13</v>
      </c>
      <c r="BF188" s="14">
        <f t="shared" si="167"/>
        <v>1.9329766731057041E-12</v>
      </c>
      <c r="BG188" s="22">
        <f t="shared" si="168"/>
        <v>3.5982663925596575E-12</v>
      </c>
      <c r="BH188" s="62">
        <f t="shared" si="116"/>
        <v>293.3333333333369</v>
      </c>
      <c r="BI188" s="62">
        <f ca="1">AVERAGE(OFFSET($BH$3,0,0,'Données projet'!$E$11+1,1))-AVERAGE(OFFSET($H$3,0,0,'Données projet'!$E$11+1,1))</f>
        <v>357.65167206083379</v>
      </c>
      <c r="BJ188" s="62">
        <f t="shared" si="146"/>
        <v>341.23389735986342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20.386102464494034</v>
      </c>
      <c r="BQ188" s="23">
        <f>EXP(-LN(2)/25)*BQ187+(1-EXP(-LN(2)/25))/(LN(2)/25)*Calculateur!BL188*Calculateur!BN188*VLOOKUP('Données projet'!$B$11,Paramètres!$A$1:$I$89,3,0)*0.475*44/12</f>
        <v>1.3581019227586886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21.744204387252722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-4.6288732846733184E-13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430.41482167204606</v>
      </c>
      <c r="T189" s="62">
        <f t="shared" si="142"/>
        <v>177.02794100524551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179.21964905263366</v>
      </c>
      <c r="AA189" s="23">
        <f>EXP(-LN(2)/25)*AA188+(1-EXP(-LN(2)/25))/(LN(2)/25)*Calculateur!V189*Calculateur!X189*VLOOKUP('Données projet'!$B$9,Paramètres!$A$1:$I$89,3,0)*0.475*44/12</f>
        <v>13.178800430739861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192.39844948337353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1.2710188457276673E-13</v>
      </c>
      <c r="AK189" s="14">
        <f t="shared" si="164"/>
        <v>1.856866851063998E-12</v>
      </c>
      <c r="AL189" s="22">
        <f t="shared" si="165"/>
        <v>3.4554122145673649E-12</v>
      </c>
      <c r="AM189" s="62">
        <f t="shared" si="113"/>
        <v>293.33333333333678</v>
      </c>
      <c r="AN189" s="62">
        <f ca="1">AVERAGE(OFFSET($AM$3,0,0,'Données projet'!$E$10+1,1))-AVERAGE(OFFSET($H$3,0,0,'Données projet'!$E$10+1,1))</f>
        <v>507.43397352006832</v>
      </c>
      <c r="AO189" s="62">
        <f t="shared" si="144"/>
        <v>631.65579929520936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32.542564407669126</v>
      </c>
      <c r="AV189" s="23">
        <f>EXP(-LN(2)/25)*AV188+(1-EXP(-LN(2)/25))/(LN(2)/25)*Calculateur!AQ189*Calculateur!AS189*VLOOKUP('Données projet'!$B$10,Paramètres!$A$1:$I$89,3,0)*0.475*44/12</f>
        <v>1.5014940539349486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34.044058461604074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projet'!$B$11,Paramètres!$A$1:$I$89,3,0)*VLOOKUP('Données projet'!$B$11,Paramètres!$A$1:$I$89,5,0)</f>
        <v>1.3301360013429075E-13</v>
      </c>
      <c r="BF189" s="14">
        <f t="shared" si="167"/>
        <v>1.9329766731057041E-12</v>
      </c>
      <c r="BG189" s="22">
        <f t="shared" si="168"/>
        <v>3.5982663925596575E-12</v>
      </c>
      <c r="BH189" s="62">
        <f t="shared" si="116"/>
        <v>293.3333333333369</v>
      </c>
      <c r="BI189" s="62">
        <f ca="1">AVERAGE(OFFSET($BH$3,0,0,'Données projet'!$E$11+1,1))-AVERAGE(OFFSET($H$3,0,0,'Données projet'!$E$11+1,1))</f>
        <v>357.65167206083379</v>
      </c>
      <c r="BJ189" s="62">
        <f t="shared" si="146"/>
        <v>341.23389735986342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19.986343429460025</v>
      </c>
      <c r="BQ189" s="23">
        <f>EXP(-LN(2)/25)*BQ188+(1-EXP(-LN(2)/25))/(LN(2)/25)*Calculateur!BL189*Calculateur!BN189*VLOOKUP('Données projet'!$B$11,Paramètres!$A$1:$I$89,3,0)*0.475*44/12</f>
        <v>1.3209645542613762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21.307307983721401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-4.6288732846733184E-13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430.41482167204606</v>
      </c>
      <c r="T190" s="62">
        <f t="shared" si="142"/>
        <v>177.02794100524551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175.70526104790366</v>
      </c>
      <c r="AA190" s="23">
        <f>EXP(-LN(2)/25)*AA189+(1-EXP(-LN(2)/25))/(LN(2)/25)*Calculateur!V190*Calculateur!X190*VLOOKUP('Données projet'!$B$9,Paramètres!$A$1:$I$89,3,0)*0.475*44/12</f>
        <v>12.818425439918284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188.52368648782195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1.2710188457276673E-13</v>
      </c>
      <c r="AK190" s="14">
        <f t="shared" si="164"/>
        <v>1.856866851063998E-12</v>
      </c>
      <c r="AL190" s="22">
        <f t="shared" si="165"/>
        <v>3.4554122145673649E-12</v>
      </c>
      <c r="AM190" s="62">
        <f t="shared" si="113"/>
        <v>293.33333333333678</v>
      </c>
      <c r="AN190" s="62">
        <f ca="1">AVERAGE(OFFSET($AM$3,0,0,'Données projet'!$E$10+1,1))-AVERAGE(OFFSET($H$3,0,0,'Données projet'!$E$10+1,1))</f>
        <v>507.43397352006832</v>
      </c>
      <c r="AO190" s="62">
        <f t="shared" si="144"/>
        <v>631.65579929520936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31.904424568639097</v>
      </c>
      <c r="AV190" s="23">
        <f>EXP(-LN(2)/25)*AV189+(1-EXP(-LN(2)/25))/(LN(2)/25)*Calculateur!AQ190*Calculateur!AS190*VLOOKUP('Données projet'!$B$10,Paramètres!$A$1:$I$89,3,0)*0.475*44/12</f>
        <v>1.4604356200699569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33.364860188709052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projet'!$B$11,Paramètres!$A$1:$I$89,3,0)*VLOOKUP('Données projet'!$B$11,Paramètres!$A$1:$I$89,5,0)</f>
        <v>1.3301360013429075E-13</v>
      </c>
      <c r="BF190" s="14">
        <f t="shared" si="167"/>
        <v>1.9329766731057041E-12</v>
      </c>
      <c r="BG190" s="22">
        <f t="shared" si="168"/>
        <v>3.5982663925596575E-12</v>
      </c>
      <c r="BH190" s="62">
        <f t="shared" si="116"/>
        <v>293.3333333333369</v>
      </c>
      <c r="BI190" s="62">
        <f ca="1">AVERAGE(OFFSET($BH$3,0,0,'Données projet'!$E$11+1,1))-AVERAGE(OFFSET($H$3,0,0,'Données projet'!$E$11+1,1))</f>
        <v>357.65167206083379</v>
      </c>
      <c r="BJ190" s="62">
        <f t="shared" si="146"/>
        <v>341.23389735986342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19.594423425274098</v>
      </c>
      <c r="BQ190" s="23">
        <f>EXP(-LN(2)/25)*BQ189+(1-EXP(-LN(2)/25))/(LN(2)/25)*Calculateur!BL190*Calculateur!BN190*VLOOKUP('Données projet'!$B$11,Paramètres!$A$1:$I$89,3,0)*0.475*44/12</f>
        <v>1.2848427090585921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20.879266134332688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-4.6288732846733184E-13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430.41482167204606</v>
      </c>
      <c r="T191" s="62">
        <f t="shared" si="142"/>
        <v>177.02794100524551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172.25978804838138</v>
      </c>
      <c r="AA191" s="23">
        <f>EXP(-LN(2)/25)*AA190+(1-EXP(-LN(2)/25))/(LN(2)/25)*Calculateur!V191*Calculateur!X191*VLOOKUP('Données projet'!$B$9,Paramètres!$A$1:$I$89,3,0)*0.475*44/12</f>
        <v>12.467904922172021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184.72769297055339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1.2710188457276673E-13</v>
      </c>
      <c r="AK191" s="14">
        <f t="shared" si="164"/>
        <v>1.856866851063998E-12</v>
      </c>
      <c r="AL191" s="22">
        <f t="shared" si="165"/>
        <v>3.4554122145673649E-12</v>
      </c>
      <c r="AM191" s="62">
        <f t="shared" si="113"/>
        <v>293.33333333333678</v>
      </c>
      <c r="AN191" s="62">
        <f ca="1">AVERAGE(OFFSET($AM$3,0,0,'Données projet'!$E$10+1,1))-AVERAGE(OFFSET($H$3,0,0,'Données projet'!$E$10+1,1))</f>
        <v>507.43397352006832</v>
      </c>
      <c r="AO191" s="62">
        <f t="shared" si="144"/>
        <v>631.65579929520936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31.278798262625578</v>
      </c>
      <c r="AV191" s="23">
        <f>EXP(-LN(2)/25)*AV190+(1-EXP(-LN(2)/25))/(LN(2)/25)*Calculateur!AQ191*Calculateur!AS191*VLOOKUP('Données projet'!$B$10,Paramètres!$A$1:$I$89,3,0)*0.475*44/12</f>
        <v>1.4204999312381725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32.699298193863754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projet'!$B$11,Paramètres!$A$1:$I$89,3,0)*VLOOKUP('Données projet'!$B$11,Paramètres!$A$1:$I$89,5,0)</f>
        <v>1.3301360013429075E-13</v>
      </c>
      <c r="BF191" s="14">
        <f t="shared" si="167"/>
        <v>1.9329766731057041E-12</v>
      </c>
      <c r="BG191" s="22">
        <f t="shared" si="168"/>
        <v>3.5982663925596575E-12</v>
      </c>
      <c r="BH191" s="62">
        <f t="shared" si="116"/>
        <v>293.3333333333369</v>
      </c>
      <c r="BI191" s="62">
        <f ca="1">AVERAGE(OFFSET($BH$3,0,0,'Données projet'!$E$11+1,1))-AVERAGE(OFFSET($H$3,0,0,'Données projet'!$E$11+1,1))</f>
        <v>357.65167206083379</v>
      </c>
      <c r="BJ191" s="62">
        <f t="shared" si="146"/>
        <v>341.23389735986342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19.210188733322656</v>
      </c>
      <c r="BQ191" s="23">
        <f>EXP(-LN(2)/25)*BQ190+(1-EXP(-LN(2)/25))/(LN(2)/25)*Calculateur!BL191*Calculateur!BN191*VLOOKUP('Données projet'!$B$11,Paramètres!$A$1:$I$89,3,0)*0.475*44/12</f>
        <v>1.2497086176124435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20.459897350935101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-4.6288732846733184E-13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430.41482167204606</v>
      </c>
      <c r="T192" s="62">
        <f t="shared" si="142"/>
        <v>177.02794100524551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168.88187867284873</v>
      </c>
      <c r="AA192" s="23">
        <f>EXP(-LN(2)/25)*AA191+(1-EXP(-LN(2)/25))/(LN(2)/25)*Calculateur!V192*Calculateur!X192*VLOOKUP('Données projet'!$B$9,Paramètres!$A$1:$I$89,3,0)*0.475*44/12</f>
        <v>12.126969406416602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181.00884807926533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1.2710188457276673E-13</v>
      </c>
      <c r="AK192" s="14">
        <f t="shared" si="164"/>
        <v>1.856866851063998E-12</v>
      </c>
      <c r="AL192" s="22">
        <f t="shared" si="165"/>
        <v>3.4554122145673649E-12</v>
      </c>
      <c r="AM192" s="62">
        <f t="shared" si="113"/>
        <v>293.33333333333678</v>
      </c>
      <c r="AN192" s="62">
        <f ca="1">AVERAGE(OFFSET($AM$3,0,0,'Données projet'!$E$10+1,1))-AVERAGE(OFFSET($H$3,0,0,'Données projet'!$E$10+1,1))</f>
        <v>507.43397352006832</v>
      </c>
      <c r="AO192" s="62">
        <f t="shared" si="144"/>
        <v>631.65579929520936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30.665440106878616</v>
      </c>
      <c r="AV192" s="23">
        <f>EXP(-LN(2)/25)*AV191+(1-EXP(-LN(2)/25))/(LN(2)/25)*Calculateur!AQ192*Calculateur!AS192*VLOOKUP('Données projet'!$B$10,Paramètres!$A$1:$I$89,3,0)*0.475*44/12</f>
        <v>1.38165628591762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32.047096392796234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projet'!$B$11,Paramètres!$A$1:$I$89,3,0)*VLOOKUP('Données projet'!$B$11,Paramètres!$A$1:$I$89,5,0)</f>
        <v>1.3301360013429075E-13</v>
      </c>
      <c r="BF192" s="14">
        <f t="shared" si="167"/>
        <v>1.9329766731057041E-12</v>
      </c>
      <c r="BG192" s="22">
        <f t="shared" si="168"/>
        <v>3.5982663925596575E-12</v>
      </c>
      <c r="BH192" s="62">
        <f t="shared" si="116"/>
        <v>293.3333333333369</v>
      </c>
      <c r="BI192" s="62">
        <f ca="1">AVERAGE(OFFSET($BH$3,0,0,'Données projet'!$E$11+1,1))-AVERAGE(OFFSET($H$3,0,0,'Données projet'!$E$11+1,1))</f>
        <v>357.65167206083379</v>
      </c>
      <c r="BJ192" s="62">
        <f t="shared" si="146"/>
        <v>341.23389735986342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18.833488649320362</v>
      </c>
      <c r="BQ192" s="23">
        <f>EXP(-LN(2)/25)*BQ191+(1-EXP(-LN(2)/25))/(LN(2)/25)*Calculateur!BL192*Calculateur!BN192*VLOOKUP('Données projet'!$B$11,Paramètres!$A$1:$I$89,3,0)*0.475*44/12</f>
        <v>1.2155352697445112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20.049023919064872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-4.6288732846733184E-13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430.41482167204606</v>
      </c>
      <c r="T193" s="62">
        <f t="shared" si="142"/>
        <v>177.02794100524551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165.57020803984898</v>
      </c>
      <c r="AA193" s="23">
        <f>EXP(-LN(2)/25)*AA192+(1-EXP(-LN(2)/25))/(LN(2)/25)*Calculateur!V193*Calculateur!X193*VLOOKUP('Données projet'!$B$9,Paramètres!$A$1:$I$89,3,0)*0.475*44/12</f>
        <v>11.795356790268537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177.36556483011751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1.2710188457276673E-13</v>
      </c>
      <c r="AK193" s="14">
        <f t="shared" si="164"/>
        <v>1.856866851063998E-12</v>
      </c>
      <c r="AL193" s="22">
        <f t="shared" si="165"/>
        <v>3.4554122145673649E-12</v>
      </c>
      <c r="AM193" s="62">
        <f t="shared" si="113"/>
        <v>293.33333333333678</v>
      </c>
      <c r="AN193" s="62">
        <f ca="1">AVERAGE(OFFSET($AM$3,0,0,'Données projet'!$E$10+1,1))-AVERAGE(OFFSET($H$3,0,0,'Données projet'!$E$10+1,1))</f>
        <v>507.43397352006832</v>
      </c>
      <c r="AO193" s="62">
        <f t="shared" si="144"/>
        <v>631.65579929520936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30.064109530454317</v>
      </c>
      <c r="AV193" s="23">
        <f>EXP(-LN(2)/25)*AV192+(1-EXP(-LN(2)/25))/(LN(2)/25)*Calculateur!AQ193*Calculateur!AS193*VLOOKUP('Données projet'!$B$10,Paramètres!$A$1:$I$89,3,0)*0.475*44/12</f>
        <v>1.3438748221210564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31.407984352575372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projet'!$B$11,Paramètres!$A$1:$I$89,3,0)*VLOOKUP('Données projet'!$B$11,Paramètres!$A$1:$I$89,5,0)</f>
        <v>1.3301360013429075E-13</v>
      </c>
      <c r="BF193" s="14">
        <f t="shared" si="167"/>
        <v>1.9329766731057041E-12</v>
      </c>
      <c r="BG193" s="22">
        <f t="shared" si="168"/>
        <v>3.5982663925596575E-12</v>
      </c>
      <c r="BH193" s="62">
        <f t="shared" si="116"/>
        <v>293.3333333333369</v>
      </c>
      <c r="BI193" s="62">
        <f ca="1">AVERAGE(OFFSET($BH$3,0,0,'Données projet'!$E$11+1,1))-AVERAGE(OFFSET($H$3,0,0,'Données projet'!$E$11+1,1))</f>
        <v>357.65167206083379</v>
      </c>
      <c r="BJ193" s="62">
        <f t="shared" si="146"/>
        <v>341.23389735986342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18.464175424200988</v>
      </c>
      <c r="BQ193" s="23">
        <f>EXP(-LN(2)/25)*BQ192+(1-EXP(-LN(2)/25))/(LN(2)/25)*Calculateur!BL193*Calculateur!BN193*VLOOKUP('Données projet'!$B$11,Paramètres!$A$1:$I$89,3,0)*0.475*44/12</f>
        <v>1.182296393871126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19.646471818072115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-4.6288732846733184E-13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430.41482167204606</v>
      </c>
      <c r="T194" s="62">
        <f t="shared" si="142"/>
        <v>177.02794100524551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162.32347724804274</v>
      </c>
      <c r="AA194" s="23">
        <f>EXP(-LN(2)/25)*AA193+(1-EXP(-LN(2)/25))/(LN(2)/25)*Calculateur!V194*Calculateur!X194*VLOOKUP('Données projet'!$B$9,Paramètres!$A$1:$I$89,3,0)*0.475*44/12</f>
        <v>11.472812138547789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173.79628938659053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1.2710188457276673E-13</v>
      </c>
      <c r="AK194" s="14">
        <f t="shared" si="164"/>
        <v>1.856866851063998E-12</v>
      </c>
      <c r="AL194" s="22">
        <f t="shared" si="165"/>
        <v>3.4554122145673649E-12</v>
      </c>
      <c r="AM194" s="62">
        <f t="shared" si="113"/>
        <v>293.33333333333678</v>
      </c>
      <c r="AN194" s="62">
        <f ca="1">AVERAGE(OFFSET($AM$3,0,0,'Données projet'!$E$10+1,1))-AVERAGE(OFFSET($H$3,0,0,'Données projet'!$E$10+1,1))</f>
        <v>507.43397352006832</v>
      </c>
      <c r="AO194" s="62">
        <f t="shared" si="144"/>
        <v>631.65579929520936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29.474570679858264</v>
      </c>
      <c r="AV194" s="23">
        <f>EXP(-LN(2)/25)*AV193+(1-EXP(-LN(2)/25))/(LN(2)/25)*Calculateur!AQ194*Calculateur!AS194*VLOOKUP('Données projet'!$B$10,Paramètres!$A$1:$I$89,3,0)*0.475*44/12</f>
        <v>1.3071264944388505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30.781697174297115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projet'!$B$11,Paramètres!$A$1:$I$89,3,0)*VLOOKUP('Données projet'!$B$11,Paramètres!$A$1:$I$89,5,0)</f>
        <v>1.3301360013429075E-13</v>
      </c>
      <c r="BF194" s="14">
        <f t="shared" si="167"/>
        <v>1.9329766731057041E-12</v>
      </c>
      <c r="BG194" s="22">
        <f t="shared" si="168"/>
        <v>3.5982663925596575E-12</v>
      </c>
      <c r="BH194" s="62">
        <f t="shared" si="116"/>
        <v>293.3333333333369</v>
      </c>
      <c r="BI194" s="62">
        <f ca="1">AVERAGE(OFFSET($BH$3,0,0,'Données projet'!$E$11+1,1))-AVERAGE(OFFSET($H$3,0,0,'Données projet'!$E$11+1,1))</f>
        <v>357.65167206083379</v>
      </c>
      <c r="BJ194" s="62">
        <f t="shared" si="146"/>
        <v>341.23389735986342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18.102104206167382</v>
      </c>
      <c r="BQ194" s="23">
        <f>EXP(-LN(2)/25)*BQ193+(1-EXP(-LN(2)/25))/(LN(2)/25)*Calculateur!BL194*Calculateur!BN194*VLOOKUP('Données projet'!$B$11,Paramètres!$A$1:$I$89,3,0)*0.475*44/12</f>
        <v>1.1499664368064548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19.252070642973838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-4.6288732846733184E-13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430.41482167204606</v>
      </c>
      <c r="T195" s="62">
        <f t="shared" si="142"/>
        <v>177.02794100524551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159.14041286675356</v>
      </c>
      <c r="AA195" s="23">
        <f>EXP(-LN(2)/25)*AA194+(1-EXP(-LN(2)/25))/(LN(2)/25)*Calculateur!V195*Calculateur!X195*VLOOKUP('Données projet'!$B$9,Paramètres!$A$1:$I$89,3,0)*0.475*44/12</f>
        <v>11.159087487290231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170.2995003540438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1.2710188457276673E-13</v>
      </c>
      <c r="AK195" s="14">
        <f t="shared" si="164"/>
        <v>1.856866851063998E-12</v>
      </c>
      <c r="AL195" s="22">
        <f t="shared" si="165"/>
        <v>3.4554122145673649E-12</v>
      </c>
      <c r="AM195" s="62">
        <f t="shared" si="113"/>
        <v>293.33333333333678</v>
      </c>
      <c r="AN195" s="62">
        <f ca="1">AVERAGE(OFFSET($AM$3,0,0,'Données projet'!$E$10+1,1))-AVERAGE(OFFSET($H$3,0,0,'Données projet'!$E$10+1,1))</f>
        <v>507.43397352006832</v>
      </c>
      <c r="AO195" s="62">
        <f t="shared" si="144"/>
        <v>631.65579929520936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28.896592326539206</v>
      </c>
      <c r="AV195" s="23">
        <f>EXP(-LN(2)/25)*AV194+(1-EXP(-LN(2)/25))/(LN(2)/25)*Calculateur!AQ195*Calculateur!AS195*VLOOKUP('Données projet'!$B$10,Paramètres!$A$1:$I$89,3,0)*0.475*44/12</f>
        <v>1.2713830517096254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30.167975378248833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projet'!$B$11,Paramètres!$A$1:$I$89,3,0)*VLOOKUP('Données projet'!$B$11,Paramètres!$A$1:$I$89,5,0)</f>
        <v>1.3301360013429075E-13</v>
      </c>
      <c r="BF195" s="14">
        <f t="shared" si="167"/>
        <v>1.9329766731057041E-12</v>
      </c>
      <c r="BG195" s="22">
        <f t="shared" si="168"/>
        <v>3.5982663925596575E-12</v>
      </c>
      <c r="BH195" s="62">
        <f t="shared" si="116"/>
        <v>293.3333333333369</v>
      </c>
      <c r="BI195" s="62">
        <f ca="1">AVERAGE(OFFSET($BH$3,0,0,'Données projet'!$E$11+1,1))-AVERAGE(OFFSET($H$3,0,0,'Données projet'!$E$11+1,1))</f>
        <v>357.65167206083379</v>
      </c>
      <c r="BJ195" s="62">
        <f t="shared" si="146"/>
        <v>341.23389735986342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17.74713298387778</v>
      </c>
      <c r="BQ195" s="23">
        <f>EXP(-LN(2)/25)*BQ194+(1-EXP(-LN(2)/25))/(LN(2)/25)*Calculateur!BL195*Calculateur!BN195*VLOOKUP('Données projet'!$B$11,Paramètres!$A$1:$I$89,3,0)*0.475*44/12</f>
        <v>1.1185205441178756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18.865653527995654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-4.6288732846733184E-13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430.41482167204606</v>
      </c>
      <c r="T196" s="62">
        <f t="shared" si="142"/>
        <v>177.02794100524551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156.01976643650389</v>
      </c>
      <c r="AA196" s="23">
        <f>EXP(-LN(2)/25)*AA195+(1-EXP(-LN(2)/25))/(LN(2)/25)*Calculateur!V196*Calculateur!X196*VLOOKUP('Données projet'!$B$9,Paramètres!$A$1:$I$89,3,0)*0.475*44/12</f>
        <v>10.853941653119373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166.87370808962325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1.2710188457276673E-13</v>
      </c>
      <c r="AK196" s="14">
        <f t="shared" si="164"/>
        <v>1.856866851063998E-12</v>
      </c>
      <c r="AL196" s="22">
        <f t="shared" si="165"/>
        <v>3.4554122145673649E-12</v>
      </c>
      <c r="AM196" s="62">
        <f t="shared" ref="AM196:AM203" si="193">AL196+(AD196+AE196)*44/12</f>
        <v>293.33333333333678</v>
      </c>
      <c r="AN196" s="62">
        <f ca="1">AVERAGE(OFFSET($AM$3,0,0,'Données projet'!$E$10+1,1))-AVERAGE(OFFSET($H$3,0,0,'Données projet'!$E$10+1,1))</f>
        <v>507.43397352006832</v>
      </c>
      <c r="AO196" s="62">
        <f t="shared" si="144"/>
        <v>631.65579929520936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28.32994777619675</v>
      </c>
      <c r="AV196" s="23">
        <f>EXP(-LN(2)/25)*AV195+(1-EXP(-LN(2)/25))/(LN(2)/25)*Calculateur!AQ196*Calculateur!AS196*VLOOKUP('Données projet'!$B$10,Paramètres!$A$1:$I$89,3,0)*0.475*44/12</f>
        <v>1.2366170153014968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29.566564791498248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projet'!$B$11,Paramètres!$A$1:$I$89,3,0)*VLOOKUP('Données projet'!$B$11,Paramètres!$A$1:$I$89,5,0)</f>
        <v>1.3301360013429075E-13</v>
      </c>
      <c r="BF196" s="14">
        <f t="shared" si="167"/>
        <v>1.9329766731057041E-12</v>
      </c>
      <c r="BG196" s="22">
        <f t="shared" si="168"/>
        <v>3.5982663925596575E-12</v>
      </c>
      <c r="BH196" s="62">
        <f t="shared" ref="BH196:BH203" si="194">BG196+(AY196+AZ196)*44/12</f>
        <v>293.3333333333369</v>
      </c>
      <c r="BI196" s="62">
        <f ca="1">AVERAGE(OFFSET($BH$3,0,0,'Données projet'!$E$11+1,1))-AVERAGE(OFFSET($H$3,0,0,'Données projet'!$E$11+1,1))</f>
        <v>357.65167206083379</v>
      </c>
      <c r="BJ196" s="62">
        <f t="shared" si="146"/>
        <v>341.23389735986342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17.399122530746208</v>
      </c>
      <c r="BQ196" s="23">
        <f>EXP(-LN(2)/25)*BQ195+(1-EXP(-LN(2)/25))/(LN(2)/25)*Calculateur!BL196*Calculateur!BN196*VLOOKUP('Données projet'!$B$11,Paramètres!$A$1:$I$89,3,0)*0.475*44/12</f>
        <v>1.0879345410185333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18.487057071764742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-4.6288732846733184E-13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430.41482167204606</v>
      </c>
      <c r="T197" s="62">
        <f t="shared" ref="T197:T203" si="204">$T$3</f>
        <v>177.02794100524551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152.96031397934505</v>
      </c>
      <c r="AA197" s="23">
        <f>EXP(-LN(2)/25)*AA196+(1-EXP(-LN(2)/25))/(LN(2)/25)*Calculateur!V197*Calculateur!X197*VLOOKUP('Données projet'!$B$9,Paramètres!$A$1:$I$89,3,0)*0.475*44/12</f>
        <v>10.557140047830838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163.51745402717589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1.2710188457276673E-13</v>
      </c>
      <c r="AK197" s="14">
        <f t="shared" si="164"/>
        <v>1.856866851063998E-12</v>
      </c>
      <c r="AL197" s="22">
        <f t="shared" si="165"/>
        <v>3.4554122145673649E-12</v>
      </c>
      <c r="AM197" s="62">
        <f t="shared" si="193"/>
        <v>293.33333333333678</v>
      </c>
      <c r="AN197" s="62">
        <f ca="1">AVERAGE(OFFSET($AM$3,0,0,'Données projet'!$E$10+1,1))-AVERAGE(OFFSET($H$3,0,0,'Données projet'!$E$10+1,1))</f>
        <v>507.43397352006832</v>
      </c>
      <c r="AO197" s="62">
        <f t="shared" ref="AO197:AO203" si="205">$AO$3</f>
        <v>631.65579929520936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27.77441477986746</v>
      </c>
      <c r="AV197" s="23">
        <f>EXP(-LN(2)/25)*AV196+(1-EXP(-LN(2)/25))/(LN(2)/25)*Calculateur!AQ197*Calculateur!AS197*VLOOKUP('Données projet'!$B$10,Paramètres!$A$1:$I$89,3,0)*0.475*44/12</f>
        <v>1.2028016579872149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28.977216437854675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projet'!$B$11,Paramètres!$A$1:$I$89,3,0)*VLOOKUP('Données projet'!$B$11,Paramètres!$A$1:$I$89,5,0)</f>
        <v>1.3301360013429075E-13</v>
      </c>
      <c r="BF197" s="14">
        <f t="shared" si="167"/>
        <v>1.9329766731057041E-12</v>
      </c>
      <c r="BG197" s="22">
        <f t="shared" si="168"/>
        <v>3.5982663925596575E-12</v>
      </c>
      <c r="BH197" s="62">
        <f t="shared" si="194"/>
        <v>293.3333333333369</v>
      </c>
      <c r="BI197" s="62">
        <f ca="1">AVERAGE(OFFSET($BH$3,0,0,'Données projet'!$E$11+1,1))-AVERAGE(OFFSET($H$3,0,0,'Données projet'!$E$11+1,1))</f>
        <v>357.65167206083379</v>
      </c>
      <c r="BJ197" s="62">
        <f t="shared" ref="BJ197:BJ203" si="206">$BJ$3</f>
        <v>341.23389735986342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17.05793635033513</v>
      </c>
      <c r="BQ197" s="23">
        <f>EXP(-LN(2)/25)*BQ196+(1-EXP(-LN(2)/25))/(LN(2)/25)*Calculateur!BL197*Calculateur!BN197*VLOOKUP('Données projet'!$B$11,Paramètres!$A$1:$I$89,3,0)*0.475*44/12</f>
        <v>1.0581849137823904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18.11612126411752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-4.6288732846733184E-13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430.41482167204606</v>
      </c>
      <c r="T198" s="62">
        <f t="shared" si="204"/>
        <v>177.02794100524551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149.96085551878934</v>
      </c>
      <c r="AA198" s="23">
        <f>EXP(-LN(2)/25)*AA197+(1-EXP(-LN(2)/25))/(LN(2)/25)*Calculateur!V198*Calculateur!X198*VLOOKUP('Données projet'!$B$9,Paramètres!$A$1:$I$89,3,0)*0.475*44/12</f>
        <v>10.268454498047038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160.22931001683639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1.2710188457276673E-13</v>
      </c>
      <c r="AK198" s="14">
        <f t="shared" si="164"/>
        <v>1.856866851063998E-12</v>
      </c>
      <c r="AL198" s="22">
        <f t="shared" si="165"/>
        <v>3.4554122145673649E-12</v>
      </c>
      <c r="AM198" s="62">
        <f t="shared" si="193"/>
        <v>293.33333333333678</v>
      </c>
      <c r="AN198" s="62">
        <f ca="1">AVERAGE(OFFSET($AM$3,0,0,'Données projet'!$E$10+1,1))-AVERAGE(OFFSET($H$3,0,0,'Données projet'!$E$10+1,1))</f>
        <v>507.43397352006832</v>
      </c>
      <c r="AO198" s="62">
        <f t="shared" si="205"/>
        <v>631.65579929520936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27.229775446754516</v>
      </c>
      <c r="AV198" s="23">
        <f>EXP(-LN(2)/25)*AV197+(1-EXP(-LN(2)/25))/(LN(2)/25)*Calculateur!AQ198*Calculateur!AS198*VLOOKUP('Données projet'!$B$10,Paramètres!$A$1:$I$89,3,0)*0.475*44/12</f>
        <v>1.1699109833969643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28.39968643015148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projet'!$B$11,Paramètres!$A$1:$I$89,3,0)*VLOOKUP('Données projet'!$B$11,Paramètres!$A$1:$I$89,5,0)</f>
        <v>1.3301360013429075E-13</v>
      </c>
      <c r="BF198" s="14">
        <f t="shared" si="167"/>
        <v>1.9329766731057041E-12</v>
      </c>
      <c r="BG198" s="22">
        <f t="shared" si="168"/>
        <v>3.5982663925596575E-12</v>
      </c>
      <c r="BH198" s="62">
        <f t="shared" si="194"/>
        <v>293.3333333333369</v>
      </c>
      <c r="BI198" s="62">
        <f ca="1">AVERAGE(OFFSET($BH$3,0,0,'Données projet'!$E$11+1,1))-AVERAGE(OFFSET($H$3,0,0,'Données projet'!$E$11+1,1))</f>
        <v>357.65167206083379</v>
      </c>
      <c r="BJ198" s="62">
        <f t="shared" si="206"/>
        <v>341.23389735986342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16.723440622818892</v>
      </c>
      <c r="BQ198" s="23">
        <f>EXP(-LN(2)/25)*BQ197+(1-EXP(-LN(2)/25))/(LN(2)/25)*Calculateur!BL198*Calculateur!BN198*VLOOKUP('Données projet'!$B$11,Paramètres!$A$1:$I$89,3,0)*0.475*44/12</f>
        <v>1.0292487916674848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17.752689414486376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-4.6288732846733184E-13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430.41482167204606</v>
      </c>
      <c r="T199" s="62">
        <f t="shared" si="204"/>
        <v>177.02794100524551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147.02021460915611</v>
      </c>
      <c r="AA199" s="23">
        <f>EXP(-LN(2)/25)*AA198+(1-EXP(-LN(2)/25))/(LN(2)/25)*Calculateur!V199*Calculateur!X199*VLOOKUP('Données projet'!$B$9,Paramètres!$A$1:$I$89,3,0)*0.475*44/12</f>
        <v>9.9876630698033892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157.00787767895952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1.2710188457276673E-13</v>
      </c>
      <c r="AK199" s="14">
        <f t="shared" si="164"/>
        <v>1.856866851063998E-12</v>
      </c>
      <c r="AL199" s="22">
        <f t="shared" si="165"/>
        <v>3.4554122145673649E-12</v>
      </c>
      <c r="AM199" s="62">
        <f t="shared" si="193"/>
        <v>293.33333333333678</v>
      </c>
      <c r="AN199" s="62">
        <f ca="1">AVERAGE(OFFSET($AM$3,0,0,'Données projet'!$E$10+1,1))-AVERAGE(OFFSET($H$3,0,0,'Données projet'!$E$10+1,1))</f>
        <v>507.43397352006832</v>
      </c>
      <c r="AO199" s="62">
        <f t="shared" si="205"/>
        <v>631.65579929520936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26.695816158766728</v>
      </c>
      <c r="AV199" s="23">
        <f>EXP(-LN(2)/25)*AV198+(1-EXP(-LN(2)/25))/(LN(2)/25)*Calculateur!AQ199*Calculateur!AS199*VLOOKUP('Données projet'!$B$10,Paramètres!$A$1:$I$89,3,0)*0.475*44/12</f>
        <v>1.1379197060330295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27.833735864799756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projet'!$B$11,Paramètres!$A$1:$I$89,3,0)*VLOOKUP('Données projet'!$B$11,Paramètres!$A$1:$I$89,5,0)</f>
        <v>1.3301360013429075E-13</v>
      </c>
      <c r="BF199" s="14">
        <f t="shared" si="167"/>
        <v>1.9329766731057041E-12</v>
      </c>
      <c r="BG199" s="22">
        <f t="shared" si="168"/>
        <v>3.5982663925596575E-12</v>
      </c>
      <c r="BH199" s="62">
        <f t="shared" si="194"/>
        <v>293.3333333333369</v>
      </c>
      <c r="BI199" s="62">
        <f ca="1">AVERAGE(OFFSET($BH$3,0,0,'Données projet'!$E$11+1,1))-AVERAGE(OFFSET($H$3,0,0,'Données projet'!$E$11+1,1))</f>
        <v>357.65167206083379</v>
      </c>
      <c r="BJ199" s="62">
        <f t="shared" si="206"/>
        <v>341.23389735986342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16.395504152496997</v>
      </c>
      <c r="BQ199" s="23">
        <f>EXP(-LN(2)/25)*BQ198+(1-EXP(-LN(2)/25))/(LN(2)/25)*Calculateur!BL199*Calculateur!BN199*VLOOKUP('Données projet'!$B$11,Paramètres!$A$1:$I$89,3,0)*0.475*44/12</f>
        <v>1.0011039293334958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17.396608081830493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-4.6288732846733184E-13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430.41482167204606</v>
      </c>
      <c r="T200" s="62">
        <f t="shared" si="204"/>
        <v>177.02794100524551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144.13723787414696</v>
      </c>
      <c r="AA200" s="23">
        <f>EXP(-LN(2)/25)*AA199+(1-EXP(-LN(2)/25))/(LN(2)/25)*Calculateur!V200*Calculateur!X200*VLOOKUP('Données projet'!$B$9,Paramètres!$A$1:$I$89,3,0)*0.475*44/12</f>
        <v>9.7145498979312421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153.85178777207821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1.2710188457276673E-13</v>
      </c>
      <c r="AK200" s="14">
        <f t="shared" si="164"/>
        <v>1.856866851063998E-12</v>
      </c>
      <c r="AL200" s="22">
        <f t="shared" si="165"/>
        <v>3.4554122145673649E-12</v>
      </c>
      <c r="AM200" s="62">
        <f t="shared" si="193"/>
        <v>293.33333333333678</v>
      </c>
      <c r="AN200" s="62">
        <f ca="1">AVERAGE(OFFSET($AM$3,0,0,'Données projet'!$E$10+1,1))-AVERAGE(OFFSET($H$3,0,0,'Données projet'!$E$10+1,1))</f>
        <v>507.43397352006832</v>
      </c>
      <c r="AO200" s="62">
        <f t="shared" si="205"/>
        <v>631.65579929520936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26.172327486733373</v>
      </c>
      <c r="AV200" s="23">
        <f>EXP(-LN(2)/25)*AV199+(1-EXP(-LN(2)/25))/(LN(2)/25)*Calculateur!AQ200*Calculateur!AS200*VLOOKUP('Données projet'!$B$10,Paramètres!$A$1:$I$89,3,0)*0.475*44/12</f>
        <v>1.1068032318309597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27.279130718564332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projet'!$B$11,Paramètres!$A$1:$I$89,3,0)*VLOOKUP('Données projet'!$B$11,Paramètres!$A$1:$I$89,5,0)</f>
        <v>1.3301360013429075E-13</v>
      </c>
      <c r="BF200" s="14">
        <f t="shared" si="167"/>
        <v>1.9329766731057041E-12</v>
      </c>
      <c r="BG200" s="22">
        <f t="shared" si="168"/>
        <v>3.5982663925596575E-12</v>
      </c>
      <c r="BH200" s="62">
        <f t="shared" si="194"/>
        <v>293.3333333333369</v>
      </c>
      <c r="BI200" s="62">
        <f ca="1">AVERAGE(OFFSET($BH$3,0,0,'Données projet'!$E$11+1,1))-AVERAGE(OFFSET($H$3,0,0,'Données projet'!$E$11+1,1))</f>
        <v>357.65167206083379</v>
      </c>
      <c r="BJ200" s="62">
        <f t="shared" si="206"/>
        <v>341.23389735986342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16.07399831633662</v>
      </c>
      <c r="BQ200" s="23">
        <f>EXP(-LN(2)/25)*BQ199+(1-EXP(-LN(2)/25))/(LN(2)/25)*Calculateur!BL200*Calculateur!BN200*VLOOKUP('Données projet'!$B$11,Paramètres!$A$1:$I$89,3,0)*0.475*44/12</f>
        <v>0.97372868974010374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17.047727006076723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-4.6288732846733184E-13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430.41482167204606</v>
      </c>
      <c r="T201" s="62">
        <f t="shared" si="204"/>
        <v>177.02794100524551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141.31079455446914</v>
      </c>
      <c r="AA201" s="23">
        <f>EXP(-LN(2)/25)*AA200+(1-EXP(-LN(2)/25))/(LN(2)/25)*Calculateur!V201*Calculateur!X201*VLOOKUP('Données projet'!$B$9,Paramètres!$A$1:$I$89,3,0)*0.475*44/12</f>
        <v>9.448905020106336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150.75969957457548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1.2710188457276673E-13</v>
      </c>
      <c r="AK201" s="14">
        <f t="shared" si="164"/>
        <v>1.856866851063998E-12</v>
      </c>
      <c r="AL201" s="22">
        <f t="shared" si="165"/>
        <v>3.4554122145673649E-12</v>
      </c>
      <c r="AM201" s="62">
        <f t="shared" si="193"/>
        <v>293.33333333333678</v>
      </c>
      <c r="AN201" s="62">
        <f ca="1">AVERAGE(OFFSET($AM$3,0,0,'Données projet'!$E$10+1,1))-AVERAGE(OFFSET($H$3,0,0,'Données projet'!$E$10+1,1))</f>
        <v>507.43397352006832</v>
      </c>
      <c r="AO201" s="62">
        <f t="shared" si="205"/>
        <v>631.65579929520936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25.659104108262028</v>
      </c>
      <c r="AV201" s="23">
        <f>EXP(-LN(2)/25)*AV200+(1-EXP(-LN(2)/25))/(LN(2)/25)*Calculateur!AQ201*Calculateur!AS201*VLOOKUP('Données projet'!$B$10,Paramètres!$A$1:$I$89,3,0)*0.475*44/12</f>
        <v>1.0765376392522898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26.735641747514318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projet'!$B$11,Paramètres!$A$1:$I$89,3,0)*VLOOKUP('Données projet'!$B$11,Paramètres!$A$1:$I$89,5,0)</f>
        <v>1.3301360013429075E-13</v>
      </c>
      <c r="BF201" s="14">
        <f t="shared" si="167"/>
        <v>1.9329766731057041E-12</v>
      </c>
      <c r="BG201" s="22">
        <f t="shared" si="168"/>
        <v>3.5982663925596575E-12</v>
      </c>
      <c r="BH201" s="62">
        <f t="shared" si="194"/>
        <v>293.3333333333369</v>
      </c>
      <c r="BI201" s="62">
        <f ca="1">AVERAGE(OFFSET($BH$3,0,0,'Données projet'!$E$11+1,1))-AVERAGE(OFFSET($H$3,0,0,'Données projet'!$E$11+1,1))</f>
        <v>357.65167206083379</v>
      </c>
      <c r="BJ201" s="62">
        <f t="shared" si="206"/>
        <v>341.23389735986342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15.75879701352415</v>
      </c>
      <c r="BQ201" s="23">
        <f>EXP(-LN(2)/25)*BQ200+(1-EXP(-LN(2)/25))/(LN(2)/25)*Calculateur!BL201*Calculateur!BN201*VLOOKUP('Données projet'!$B$11,Paramètres!$A$1:$I$89,3,0)*0.475*44/12</f>
        <v>0.94710202751299433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16.705899041037146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-4.6288732846733184E-13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430.41482167204606</v>
      </c>
      <c r="T202" s="62">
        <f t="shared" si="204"/>
        <v>177.02794100524551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138.53977606433003</v>
      </c>
      <c r="AA202" s="23">
        <f>EXP(-LN(2)/25)*AA201+(1-EXP(-LN(2)/25))/(LN(2)/25)*Calculateur!V202*Calculateur!X202*VLOOKUP('Données projet'!$B$9,Paramètres!$A$1:$I$89,3,0)*0.475*44/12</f>
        <v>9.1905242154352091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147.73030027976523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1.2710188457276673E-13</v>
      </c>
      <c r="AK202" s="14">
        <f t="shared" si="164"/>
        <v>1.856866851063998E-12</v>
      </c>
      <c r="AL202" s="22">
        <f t="shared" si="165"/>
        <v>3.4554122145673649E-12</v>
      </c>
      <c r="AM202" s="62">
        <f t="shared" si="193"/>
        <v>293.33333333333678</v>
      </c>
      <c r="AN202" s="62">
        <f ca="1">AVERAGE(OFFSET($AM$3,0,0,'Données projet'!$E$10+1,1))-AVERAGE(OFFSET($H$3,0,0,'Données projet'!$E$10+1,1))</f>
        <v>507.43397352006832</v>
      </c>
      <c r="AO202" s="62">
        <f t="shared" si="205"/>
        <v>631.65579929520936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25.155944727207157</v>
      </c>
      <c r="AV202" s="23">
        <f>EXP(-LN(2)/25)*AV201+(1-EXP(-LN(2)/25))/(LN(2)/25)*Calculateur!AQ202*Calculateur!AS202*VLOOKUP('Données projet'!$B$10,Paramètres!$A$1:$I$89,3,0)*0.475*44/12</f>
        <v>1.047099660894282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26.203044388101439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projet'!$B$11,Paramètres!$A$1:$I$89,3,0)*VLOOKUP('Données projet'!$B$11,Paramètres!$A$1:$I$89,5,0)</f>
        <v>1.3301360013429075E-13</v>
      </c>
      <c r="BF202" s="14">
        <f t="shared" si="167"/>
        <v>1.9329766731057041E-12</v>
      </c>
      <c r="BG202" s="22">
        <f t="shared" si="168"/>
        <v>3.5982663925596575E-12</v>
      </c>
      <c r="BH202" s="62">
        <f t="shared" si="194"/>
        <v>293.3333333333369</v>
      </c>
      <c r="BI202" s="62">
        <f ca="1">AVERAGE(OFFSET($BH$3,0,0,'Données projet'!$E$11+1,1))-AVERAGE(OFFSET($H$3,0,0,'Données projet'!$E$11+1,1))</f>
        <v>357.65167206083379</v>
      </c>
      <c r="BJ202" s="62">
        <f t="shared" si="206"/>
        <v>341.23389735986342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15.449776616006021</v>
      </c>
      <c r="BQ202" s="23">
        <f>EXP(-LN(2)/25)*BQ201+(1-EXP(-LN(2)/25))/(LN(2)/25)*Calculateur!BL202*Calculateur!BN202*VLOOKUP('Données projet'!$B$11,Paramètres!$A$1:$I$89,3,0)*0.475*44/12</f>
        <v>0.92120347276472048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16.370980088770743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-4.6288732846733184E-13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430.41482167204606</v>
      </c>
      <c r="T203" s="62">
        <f t="shared" si="204"/>
        <v>177.02794100524551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135.82309555662815</v>
      </c>
      <c r="AA203" s="23">
        <f>EXP(-LN(2)/25)*AA202+(1-EXP(-LN(2)/25))/(LN(2)/25)*Calculateur!V203*Calculateur!X203*VLOOKUP('Données projet'!$B$9,Paramètres!$A$1:$I$89,3,0)*0.475*44/12</f>
        <v>8.9392088474554701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144.76230440408361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1.2710188457276673E-13</v>
      </c>
      <c r="AK203" s="14">
        <f t="shared" si="164"/>
        <v>1.856866851063998E-12</v>
      </c>
      <c r="AL203" s="22">
        <f t="shared" si="165"/>
        <v>3.4554122145673649E-12</v>
      </c>
      <c r="AM203" s="62">
        <f t="shared" si="193"/>
        <v>293.33333333333678</v>
      </c>
      <c r="AN203" s="62">
        <f ca="1">AVERAGE(OFFSET($AM$3,0,0,'Données projet'!$E$10+1,1))-AVERAGE(OFFSET($H$3,0,0,'Données projet'!$E$10+1,1))</f>
        <v>507.43397352006832</v>
      </c>
      <c r="AO203" s="62">
        <f t="shared" si="205"/>
        <v>631.65579929520936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24.662651994717852</v>
      </c>
      <c r="AV203" s="23">
        <f>EXP(-LN(2)/25)*AV202+(1-EXP(-LN(2)/25))/(LN(2)/25)*Calculateur!AQ203*Calculateur!AS203*VLOOKUP('Données projet'!$B$10,Paramètres!$A$1:$I$89,3,0)*0.475*44/12</f>
        <v>1.0184666656025498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25.681118660320401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projet'!$B$11,Paramètres!$A$1:$I$89,3,0)*VLOOKUP('Données projet'!$B$11,Paramètres!$A$1:$I$89,5,0)</f>
        <v>1.3301360013429075E-13</v>
      </c>
      <c r="BF203" s="14">
        <f t="shared" si="167"/>
        <v>1.9329766731057041E-12</v>
      </c>
      <c r="BG203" s="22">
        <f t="shared" si="168"/>
        <v>3.5982663925596575E-12</v>
      </c>
      <c r="BH203" s="62">
        <f t="shared" si="194"/>
        <v>293.3333333333369</v>
      </c>
      <c r="BI203" s="62">
        <f ca="1">AVERAGE(OFFSET($BH$3,0,0,'Données projet'!$E$11+1,1))-AVERAGE(OFFSET($H$3,0,0,'Données projet'!$E$11+1,1))</f>
        <v>357.65167206083379</v>
      </c>
      <c r="BJ203" s="62">
        <f t="shared" si="206"/>
        <v>341.23389735986342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15.146815919999392</v>
      </c>
      <c r="BQ203" s="23">
        <f>EXP(-LN(2)/25)*BQ202+(1-EXP(-LN(2)/25))/(LN(2)/25)*Calculateur!BL203*Calculateur!BN203*VLOOKUP('Données projet'!$B$11,Paramètres!$A$1:$I$89,3,0)*0.475*44/12</f>
        <v>0.896013115357984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16.042829035357375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1.1087227605711896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1.418286993802653</v>
      </c>
      <c r="BA205" s="88">
        <f>EXP(LN('Données projet'!B88)/'Données projet'!A88)</f>
        <v>1.2688471048731957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855468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85546875" style="5" bestFit="1" customWidth="1"/>
    <col min="7" max="7" width="11.42578125" style="5" bestFit="1" customWidth="1"/>
    <col min="8" max="8" width="39" style="5" bestFit="1" customWidth="1"/>
    <col min="9" max="9" width="16.855468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85" zoomScaleNormal="85" workbookViewId="0">
      <selection activeCell="G16" sqref="G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1.7625000000000002</v>
      </c>
      <c r="C6" s="156">
        <f ca="1">IF(OR('Données projet'!B9="",'Données projet'!C9="",'Données projet'!C9=0%),0,Calculateur!S3)</f>
        <v>430.41482167204606</v>
      </c>
      <c r="D6" s="156">
        <f>IF(OR('Données projet'!B9="",'Données projet'!C9="",'Données projet'!C9=0%),0,Calculateur!T3)</f>
        <v>177.02794100524551</v>
      </c>
      <c r="E6" s="156">
        <f ca="1">MIN(C6,D6)</f>
        <v>177.02794100524551</v>
      </c>
      <c r="F6" s="156">
        <f ca="1">E6*B6</f>
        <v>312.01174602174524</v>
      </c>
      <c r="G6" s="156">
        <f ca="1">F6*(100%-'Données projet'!$C$24)*(100%-'Données projet'!$C$25)*(100%-'Données projet'!$C$26)*(100%-'Données projet'!$C$27)</f>
        <v>280.81057141957075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280.81057141957075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6.3450000000000006E-2</v>
      </c>
      <c r="C7" s="156">
        <f ca="1">IF(OR('Données projet'!B10="",'Données projet'!C10="",'Données projet'!C10=0%),0,Calculateur!AN3)</f>
        <v>507.43397352006832</v>
      </c>
      <c r="D7" s="156">
        <f>IF(OR('Données projet'!B10="",'Données projet'!C10="",'Données projet'!C10=0%),0,Calculateur!AO3)</f>
        <v>631.65579929520936</v>
      </c>
      <c r="E7" s="156">
        <f t="shared" ref="E7:E15" ca="1" si="0">MIN(C7,D7)</f>
        <v>507.43397352006832</v>
      </c>
      <c r="F7" s="156">
        <f t="shared" ref="F7:F15" ca="1" si="1">E7*B7</f>
        <v>32.196685619848338</v>
      </c>
      <c r="G7" s="156">
        <f ca="1">F7*(100%-'Données projet'!$C$24)*(100%-'Données projet'!$C$25)*(100%-'Données projet'!$C$26)*(100%-'Données projet'!$C$27)</f>
        <v>28.977017057863506</v>
      </c>
      <c r="H7" s="164">
        <f>IF(OR('Données projet'!B10="",'Données projet'!C10="",'Données projet'!C10=0%),0,AVERAGE(Calculateur!$AX$3:$AX$33)*B7)</f>
        <v>0.20137124471297896</v>
      </c>
      <c r="I7" s="158">
        <f>H7*(100%-'Données projet'!$C$24)*(100%-'Données projet'!$C$25)*(100%-'Données projet'!$C$26)*(100%-'Données projet'!$C$27)</f>
        <v>0.18123412024168106</v>
      </c>
      <c r="J7" s="159">
        <f>IF(OR('Données projet'!B10="",'Données projet'!C10="",'Données projet'!C10=0%),0,SUM(Calculateur!$AQ$3:$AQ$33)*VLOOKUP('Données projet'!$B$10,Paramètres!$A$1:$I$89,9,0)*B7)</f>
        <v>3.3831540000000002</v>
      </c>
      <c r="K7" s="160">
        <f>J7*(100%-'Données projet'!$C$24)*(100%-'Données projet'!$C$25)*(100%-'Données projet'!$C$26)*(100%-'Données projet'!$C$27)</f>
        <v>3.0448386000000003</v>
      </c>
      <c r="L7" s="161">
        <f t="shared" ref="L7:L15" ca="1" si="2">G7+I7+K7</f>
        <v>32.203089778105188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Merisier</v>
      </c>
      <c r="B8" s="163">
        <f>'Données projet'!D11</f>
        <v>0.52405000000000002</v>
      </c>
      <c r="C8" s="156">
        <f ca="1">IF(OR('Données projet'!B11="",'Données projet'!C11="",'Données projet'!C11=0%),0,Calculateur!BI3)</f>
        <v>357.65167206083379</v>
      </c>
      <c r="D8" s="156">
        <f>IF(OR('Données projet'!B11="",'Données projet'!C11="",'Données projet'!C11=0%),0,Calculateur!BJ3)</f>
        <v>341.23389735986342</v>
      </c>
      <c r="E8" s="156">
        <f t="shared" ca="1" si="0"/>
        <v>341.23389735986342</v>
      </c>
      <c r="F8" s="156">
        <f t="shared" ca="1" si="1"/>
        <v>178.82362391143644</v>
      </c>
      <c r="G8" s="156">
        <f ca="1">F8*(100%-'Données projet'!$C$24)*(100%-'Données projet'!$C$25)*(100%-'Données projet'!$C$26)*(100%-'Données projet'!$C$27)</f>
        <v>160.94126152029281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8.6468249999999998</v>
      </c>
      <c r="K8" s="160">
        <f>J8*(100%-'Données projet'!$C$24)*(100%-'Données projet'!$C$25)*(100%-'Données projet'!$C$26)*(100%-'Données projet'!$C$27)</f>
        <v>7.7821425</v>
      </c>
      <c r="L8" s="161">
        <f t="shared" ca="1" si="2"/>
        <v>168.7234040202928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523.03205555302998</v>
      </c>
      <c r="G16" s="175">
        <f t="shared" ca="1" si="3"/>
        <v>470.72884999772708</v>
      </c>
      <c r="H16" s="176">
        <f t="shared" si="3"/>
        <v>0.20137124471297896</v>
      </c>
      <c r="I16" s="176">
        <f t="shared" si="3"/>
        <v>0.18123412024168106</v>
      </c>
      <c r="J16" s="177">
        <f t="shared" si="3"/>
        <v>12.029979000000001</v>
      </c>
      <c r="K16" s="177">
        <f t="shared" si="3"/>
        <v>10.826981100000001</v>
      </c>
      <c r="L16" s="178">
        <f t="shared" ca="1" si="3"/>
        <v>481.73706521796873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R1" zoomScale="90" zoomScaleNormal="90" workbookViewId="0">
      <selection activeCell="P20" sqref="P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855468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1167.2090982653008</v>
      </c>
      <c r="U10" s="190">
        <f>'Données projet'!D9</f>
        <v>1.7625000000000002</v>
      </c>
      <c r="V10" s="189">
        <f>U10*T10</f>
        <v>2057.2060356925926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6449.4681030381744</v>
      </c>
      <c r="U11" s="190">
        <f>'Données projet'!D10</f>
        <v>6.3450000000000006E-2</v>
      </c>
      <c r="V11" s="189">
        <f t="shared" ref="V11" si="0">U11*T11</f>
        <v>409.21875113777219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2611.9511291652157</v>
      </c>
      <c r="U12" s="190">
        <f>'Données projet'!D11</f>
        <v>0.52405000000000002</v>
      </c>
      <c r="V12" s="189">
        <f t="shared" ref="V12:V19" si="1">U12*T12</f>
        <v>1368.7929892390314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>
        <v>1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1</v>
      </c>
      <c r="I20" s="204">
        <f>24175/3.17</f>
        <v>7626.1829652996848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3170/3.17</f>
        <v>1000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 t="shared" ref="I22:I24" si="2">3170/3.17</f>
        <v>1000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45</v>
      </c>
      <c r="B23" s="193">
        <f>'Données projet'!D36</f>
        <v>40</v>
      </c>
      <c r="C23" s="206">
        <v>60</v>
      </c>
      <c r="D23" s="194">
        <f>B23*C23</f>
        <v>2400</v>
      </c>
      <c r="E23" s="206">
        <v>60</v>
      </c>
      <c r="F23" s="261"/>
      <c r="H23" s="203">
        <v>4</v>
      </c>
      <c r="I23" s="204">
        <f t="shared" si="2"/>
        <v>1000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-21382.213189085051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53</v>
      </c>
      <c r="B24" s="193">
        <f>'Données projet'!D37</f>
        <v>42</v>
      </c>
      <c r="C24" s="206">
        <v>60</v>
      </c>
      <c r="D24" s="194">
        <f t="shared" ref="D24:D42" si="3">B24*C24</f>
        <v>2520</v>
      </c>
      <c r="E24" s="206">
        <v>60</v>
      </c>
      <c r="F24" s="264"/>
      <c r="H24" s="203">
        <v>5</v>
      </c>
      <c r="I24" s="204">
        <f t="shared" si="2"/>
        <v>1000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18054.68033170393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61</v>
      </c>
      <c r="B25" s="193">
        <f>'Données projet'!D38</f>
        <v>43</v>
      </c>
      <c r="C25" s="206">
        <v>60</v>
      </c>
      <c r="D25" s="194">
        <f t="shared" si="3"/>
        <v>2580</v>
      </c>
      <c r="E25" s="206">
        <v>60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350</v>
      </c>
      <c r="Q25" s="265"/>
      <c r="R25" s="25"/>
      <c r="S25" s="198" t="s">
        <v>266</v>
      </c>
      <c r="T25" s="338">
        <f ca="1">T23-T24</f>
        <v>-39436.893520788981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69</v>
      </c>
      <c r="B26" s="193">
        <f>'Données projet'!D39</f>
        <v>40</v>
      </c>
      <c r="C26" s="206">
        <v>60</v>
      </c>
      <c r="D26" s="194">
        <f t="shared" si="3"/>
        <v>2400</v>
      </c>
      <c r="E26" s="206">
        <v>60</v>
      </c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77</v>
      </c>
      <c r="B27" s="193">
        <f>'Données projet'!D40</f>
        <v>44</v>
      </c>
      <c r="C27" s="206">
        <v>60</v>
      </c>
      <c r="D27" s="194">
        <f t="shared" si="3"/>
        <v>2640</v>
      </c>
      <c r="E27" s="206">
        <v>60</v>
      </c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85</v>
      </c>
      <c r="B28" s="193">
        <f>'Données projet'!D41</f>
        <v>34</v>
      </c>
      <c r="C28" s="206">
        <v>60</v>
      </c>
      <c r="D28" s="194">
        <f t="shared" si="3"/>
        <v>2040</v>
      </c>
      <c r="E28" s="206">
        <v>60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95</v>
      </c>
      <c r="B29" s="193">
        <f>'Données projet'!D42</f>
        <v>32</v>
      </c>
      <c r="C29" s="206">
        <v>60</v>
      </c>
      <c r="D29" s="194">
        <f t="shared" si="3"/>
        <v>1920</v>
      </c>
      <c r="E29" s="206">
        <v>60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105</v>
      </c>
      <c r="B30" s="193">
        <f>'Données projet'!D43</f>
        <v>43</v>
      </c>
      <c r="C30" s="206">
        <v>60</v>
      </c>
      <c r="D30" s="194">
        <f t="shared" si="3"/>
        <v>2580</v>
      </c>
      <c r="E30" s="206">
        <v>60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7682.8426943420982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115</v>
      </c>
      <c r="B31" s="193">
        <f>'Données projet'!D44</f>
        <v>44</v>
      </c>
      <c r="C31" s="206">
        <v>120</v>
      </c>
      <c r="D31" s="194">
        <f t="shared" si="3"/>
        <v>5280</v>
      </c>
      <c r="E31" s="206">
        <v>60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125</v>
      </c>
      <c r="B32" s="193">
        <f>'Données projet'!D45</f>
        <v>47</v>
      </c>
      <c r="C32" s="206">
        <v>120</v>
      </c>
      <c r="D32" s="194">
        <f t="shared" si="3"/>
        <v>5640</v>
      </c>
      <c r="E32" s="206">
        <v>60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135</v>
      </c>
      <c r="B33" s="193">
        <f>'Données projet'!D46</f>
        <v>50</v>
      </c>
      <c r="C33" s="206">
        <v>120</v>
      </c>
      <c r="D33" s="194">
        <f t="shared" si="3"/>
        <v>6000</v>
      </c>
      <c r="E33" s="206">
        <v>60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350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145</v>
      </c>
      <c r="B34" s="193">
        <f>'Données projet'!D47</f>
        <v>44</v>
      </c>
      <c r="C34" s="206">
        <v>120</v>
      </c>
      <c r="D34" s="194">
        <f t="shared" si="3"/>
        <v>5280</v>
      </c>
      <c r="E34" s="206">
        <v>60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334.9282296650718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155</v>
      </c>
      <c r="B35" s="193">
        <f>'Données projet'!D48</f>
        <v>51</v>
      </c>
      <c r="C35" s="206">
        <v>160</v>
      </c>
      <c r="D35" s="194">
        <f t="shared" si="3"/>
        <v>8160</v>
      </c>
      <c r="E35" s="206">
        <v>60</v>
      </c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320.5054829330831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165</v>
      </c>
      <c r="B36" s="193">
        <f>'Données projet'!D49</f>
        <v>45</v>
      </c>
      <c r="C36" s="206">
        <v>160</v>
      </c>
      <c r="D36" s="194">
        <f t="shared" si="3"/>
        <v>7200</v>
      </c>
      <c r="E36" s="206">
        <v>60</v>
      </c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306.70381141921825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170</v>
      </c>
      <c r="B37" s="193">
        <f>'Données projet'!D50</f>
        <v>448</v>
      </c>
      <c r="C37" s="206">
        <v>160</v>
      </c>
      <c r="D37" s="194">
        <f t="shared" si="3"/>
        <v>71680</v>
      </c>
      <c r="E37" s="206">
        <v>60</v>
      </c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293.49647025762522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280.85786627523942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268.76350839735841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257.18996018885969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246.11479443910025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235.51654970248828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225.37468871051516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215.66955857465564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206.38235270301979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197.49507435695674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188.99050177699215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180.85215481051878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173.06426297657308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165.61173490581155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158.48012909647039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151.65562592963676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145.12500088960459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8</v>
      </c>
      <c r="D54" s="191">
        <f>B54*C54</f>
        <v>0</v>
      </c>
      <c r="E54" s="206">
        <v>60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138.87559893742065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11</v>
      </c>
      <c r="C55" s="204">
        <v>20</v>
      </c>
      <c r="D55" s="191">
        <f t="shared" ref="D55:D73" si="5">B55*C55</f>
        <v>220</v>
      </c>
      <c r="E55" s="206">
        <v>60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132.89530998796238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46</v>
      </c>
      <c r="C56" s="204">
        <v>20</v>
      </c>
      <c r="D56" s="191">
        <f t="shared" si="5"/>
        <v>920</v>
      </c>
      <c r="E56" s="206">
        <v>60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127.17254544302619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67</v>
      </c>
      <c r="C57" s="204">
        <v>40</v>
      </c>
      <c r="D57" s="191">
        <f t="shared" si="5"/>
        <v>2680</v>
      </c>
      <c r="E57" s="206">
        <v>60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121.69621573495333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72</v>
      </c>
      <c r="C58" s="204">
        <v>40</v>
      </c>
      <c r="D58" s="191">
        <f t="shared" si="5"/>
        <v>2880</v>
      </c>
      <c r="E58" s="206">
        <v>60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116.45570883727592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79</v>
      </c>
      <c r="C59" s="204">
        <v>60</v>
      </c>
      <c r="D59" s="191">
        <f t="shared" si="5"/>
        <v>4740</v>
      </c>
      <c r="E59" s="206">
        <v>60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111.44086970074254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83</v>
      </c>
      <c r="C60" s="204">
        <v>60</v>
      </c>
      <c r="D60" s="191">
        <f t="shared" si="5"/>
        <v>4980</v>
      </c>
      <c r="E60" s="206">
        <v>60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106.64198057487323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75</v>
      </c>
      <c r="C61" s="204">
        <v>60</v>
      </c>
      <c r="D61" s="191">
        <f t="shared" si="5"/>
        <v>4500</v>
      </c>
      <c r="E61" s="206">
        <v>60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102.04974217691222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66</v>
      </c>
      <c r="C62" s="204">
        <v>60</v>
      </c>
      <c r="D62" s="191">
        <f t="shared" si="5"/>
        <v>3960</v>
      </c>
      <c r="E62" s="206">
        <v>60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97.655255671686319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64</v>
      </c>
      <c r="C63" s="204">
        <v>60</v>
      </c>
      <c r="D63" s="191">
        <f t="shared" si="5"/>
        <v>3840</v>
      </c>
      <c r="E63" s="206">
        <v>60</v>
      </c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93.450005427451046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671</v>
      </c>
      <c r="C64" s="204">
        <v>60</v>
      </c>
      <c r="D64" s="191">
        <f t="shared" si="5"/>
        <v>40260</v>
      </c>
      <c r="E64" s="206">
        <v>60</v>
      </c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89.425842514307206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85.574968913212686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81.889922404988226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78.363562110036582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74.98905465075272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71.759860909811223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68.669723358671035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65.712653931742622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62.88292242272022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60.175045380593524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57.583775483821562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55.104091372078059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52.731187915864169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50.460466905133188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48.287528138883431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46.208160898453052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44.218335787993347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42.314196926309442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40.492054474937262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38.748377487978253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37.079787069835646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27</v>
      </c>
      <c r="C85" s="204">
        <v>8</v>
      </c>
      <c r="D85" s="191">
        <f>B85*C85</f>
        <v>216</v>
      </c>
      <c r="E85" s="206">
        <v>60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35.483049827593931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16</v>
      </c>
      <c r="C86" s="204">
        <v>8</v>
      </c>
      <c r="D86" s="191">
        <f t="shared" ref="D86:D104" si="7">B86*C86</f>
        <v>128</v>
      </c>
      <c r="E86" s="206">
        <v>60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33.955071605353041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23</v>
      </c>
      <c r="C87" s="204">
        <v>20</v>
      </c>
      <c r="D87" s="191">
        <f t="shared" si="7"/>
        <v>460</v>
      </c>
      <c r="E87" s="206">
        <v>60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32.492891488376131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29</v>
      </c>
      <c r="C88" s="204">
        <v>40</v>
      </c>
      <c r="D88" s="191">
        <f t="shared" si="7"/>
        <v>1160</v>
      </c>
      <c r="E88" s="206">
        <v>60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31.093676065431698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32</v>
      </c>
      <c r="C89" s="204">
        <v>40</v>
      </c>
      <c r="D89" s="191">
        <f t="shared" si="7"/>
        <v>1280</v>
      </c>
      <c r="E89" s="206">
        <v>60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29.754713938212159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36</v>
      </c>
      <c r="C90" s="204">
        <v>60</v>
      </c>
      <c r="D90" s="191">
        <f t="shared" si="7"/>
        <v>2160</v>
      </c>
      <c r="E90" s="206">
        <v>60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28.473410467188671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35</v>
      </c>
      <c r="C91" s="204">
        <v>60</v>
      </c>
      <c r="D91" s="191">
        <f t="shared" si="7"/>
        <v>2100</v>
      </c>
      <c r="E91" s="206">
        <v>60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27.247282743721222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35</v>
      </c>
      <c r="C92" s="204">
        <v>60</v>
      </c>
      <c r="D92" s="191">
        <f t="shared" si="7"/>
        <v>2100</v>
      </c>
      <c r="E92" s="206">
        <v>60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26.073954778680598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37</v>
      </c>
      <c r="C93" s="204">
        <v>60</v>
      </c>
      <c r="D93" s="191">
        <f t="shared" si="7"/>
        <v>2220</v>
      </c>
      <c r="E93" s="206">
        <v>60</v>
      </c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24.951152898258947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37</v>
      </c>
      <c r="C94" s="204">
        <v>60</v>
      </c>
      <c r="D94" s="191">
        <f t="shared" si="7"/>
        <v>2220</v>
      </c>
      <c r="E94" s="206">
        <v>60</v>
      </c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6"/>
        <v>23.876701338046836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32</v>
      </c>
      <c r="C95" s="204">
        <v>60</v>
      </c>
      <c r="D95" s="191">
        <f t="shared" si="7"/>
        <v>1920</v>
      </c>
      <c r="E95" s="206">
        <v>60</v>
      </c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6"/>
        <v>22.848518026839088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31</v>
      </c>
      <c r="C96" s="204">
        <v>80</v>
      </c>
      <c r="D96" s="191">
        <f t="shared" si="7"/>
        <v>2480</v>
      </c>
      <c r="E96" s="206">
        <v>60</v>
      </c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6"/>
        <v>21.864610551999121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349</v>
      </c>
      <c r="C97" s="204">
        <v>80</v>
      </c>
      <c r="D97" s="191">
        <f t="shared" si="7"/>
        <v>27920</v>
      </c>
      <c r="E97" s="206">
        <v>60</v>
      </c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8">$P$25/(1+$M$4)^O97</f>
        <v>20.923072298563767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8"/>
        <v>20.022078754606476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9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9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9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A523A43B6244795B1699B620A3B37" ma:contentTypeVersion="15" ma:contentTypeDescription="Crée un document." ma:contentTypeScope="" ma:versionID="bc0ba9cbcfe30ecdcf0dfcdf9be081da">
  <xsd:schema xmlns:xsd="http://www.w3.org/2001/XMLSchema" xmlns:xs="http://www.w3.org/2001/XMLSchema" xmlns:p="http://schemas.microsoft.com/office/2006/metadata/properties" xmlns:ns2="e8ccb64d-982d-4ad5-aee8-babd18a39105" xmlns:ns3="60002579-1890-4f1e-b730-80edde186326" targetNamespace="http://schemas.microsoft.com/office/2006/metadata/properties" ma:root="true" ma:fieldsID="64f92ae60706e75a33500fdea8d4daf7" ns2:_="" ns3:_="">
    <xsd:import namespace="e8ccb64d-982d-4ad5-aee8-babd18a39105"/>
    <xsd:import namespace="60002579-1890-4f1e-b730-80edde186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cb64d-982d-4ad5-aee8-babd18a39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2579-1890-4f1e-b730-80edde1863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565a48-7421-48db-91d5-47456c0d9a26}" ma:internalName="TaxCatchAll" ma:showField="CatchAllData" ma:web="60002579-1890-4f1e-b730-80edde1863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DC592D-50CF-45D0-AD4F-F1E74D3FD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ccb64d-982d-4ad5-aee8-babd18a39105"/>
    <ds:schemaRef ds:uri="60002579-1890-4f1e-b730-80edde186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F8E8CE-B377-4979-B144-76CAA5301C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Lina MOREL</cp:lastModifiedBy>
  <dcterms:created xsi:type="dcterms:W3CDTF">2021-02-01T08:22:39Z</dcterms:created>
  <dcterms:modified xsi:type="dcterms:W3CDTF">2022-11-09T15:59:57Z</dcterms:modified>
</cp:coreProperties>
</file>