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DLB\- Déposés\GUISCRIFF (56)- LE MOIGNE\Dossier déposé\"/>
    </mc:Choice>
  </mc:AlternateContent>
  <xr:revisionPtr revIDLastSave="0" documentId="13_ncr:1_{3659FFDD-08A4-403A-A4F4-0780C9191813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HG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EA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HH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V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EW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37" i="2" l="1" a="1"/>
  <c r="CS137" i="2" s="1"/>
  <c r="CS129" i="2" a="1"/>
  <c r="CS129" i="2" s="1"/>
  <c r="CS52" i="2" a="1"/>
  <c r="CS52" i="2" s="1"/>
  <c r="CS38" i="2" a="1"/>
  <c r="CS38" i="2" s="1"/>
  <c r="CS105" i="2" a="1"/>
  <c r="CS105" i="2" s="1"/>
  <c r="CS116" i="2" a="1"/>
  <c r="CS116" i="2" s="1"/>
  <c r="CS66" i="2" a="1"/>
  <c r="CS66" i="2" s="1"/>
  <c r="CS161" i="2" a="1"/>
  <c r="CS161" i="2" s="1"/>
  <c r="CS114" i="2" a="1"/>
  <c r="CS114" i="2" s="1"/>
  <c r="CS120" i="2" a="1"/>
  <c r="CS120" i="2" s="1"/>
  <c r="AH199" i="2" a="1"/>
  <c r="AH199" i="2" s="1"/>
  <c r="CS72" i="2" a="1"/>
  <c r="CS72" i="2" s="1"/>
  <c r="CS56" i="2" a="1"/>
  <c r="CS56" i="2" s="1"/>
  <c r="AH166" i="2" a="1"/>
  <c r="AH166" i="2" s="1"/>
  <c r="FS203" i="2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<sst xmlns="http://schemas.openxmlformats.org/spreadsheetml/2006/main" count="1172" uniqueCount="324">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</sst>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1.7983590495427</c:v>
                </c:pt>
                <c:pt idx="2">
                  <c:v>2.2250723216926933</c:v>
                </c:pt>
                <c:pt idx="3">
                  <c:v>2.7534322831541989</c:v>
                </c:pt>
                <c:pt idx="4">
                  <c:v>3.4077413288763059</c:v>
                </c:pt>
                <c:pt idx="5">
                  <c:v>4.2181322727099486</c:v>
                </c:pt>
                <c:pt idx="6">
                  <c:v>5.2219716087393548</c:v>
                </c:pt>
                <c:pt idx="7">
                  <c:v>6.4656015061107972</c:v>
                </c:pt>
                <c:pt idx="8">
                  <c:v>8.0065025257837785</c:v>
                </c:pt>
                <c:pt idx="9">
                  <c:v>9.9159789414746928</c:v>
                </c:pt>
                <c:pt idx="10">
                  <c:v>12.282493278818798</c:v>
                </c:pt>
                <c:pt idx="11">
                  <c:v>15.215807435341619</c:v>
                </c:pt>
                <c:pt idx="12">
                  <c:v>18.852125975900751</c:v>
                </c:pt>
                <c:pt idx="13">
                  <c:v>23.360484738699075</c:v>
                </c:pt>
                <c:pt idx="14">
                  <c:v>28.950687006421436</c:v>
                </c:pt>
                <c:pt idx="15">
                  <c:v>35.883163020991212</c:v>
                </c:pt>
                <c:pt idx="16">
                  <c:v>44.481220064987831</c:v>
                </c:pt>
                <c:pt idx="17">
                  <c:v>55.146264073708259</c:v>
                </c:pt>
                <c:pt idx="18">
                  <c:v>68.376715225181087</c:v>
                </c:pt>
                <c:pt idx="19">
                  <c:v>84.791515959444709</c:v>
                </c:pt>
                <c:pt idx="20">
                  <c:v>105.15934884007568</c:v>
                </c:pt>
                <c:pt idx="21">
                  <c:v>130.43495409245023</c:v>
                </c:pt>
                <c:pt idx="22">
                  <c:v>161.80427560803119</c:v>
                </c:pt>
                <c:pt idx="23">
                  <c:v>200.74058596732007</c:v>
                </c:pt>
                <c:pt idx="24">
                  <c:v>234.50882798734798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584.36966457807512</c:v>
                </c:pt>
                <c:pt idx="47">
                  <c:v>602.06658285816218</c:v>
                </c:pt>
                <c:pt idx="48">
                  <c:v>619.75269577860945</c:v>
                </c:pt>
                <c:pt idx="49">
                  <c:v>637.42835487942023</c:v>
                </c:pt>
                <c:pt idx="50">
                  <c:v>655.09389063044614</c:v>
                </c:pt>
                <c:pt idx="51">
                  <c:v>620.45992059020114</c:v>
                </c:pt>
                <c:pt idx="52">
                  <c:v>635.30781662925813</c:v>
                </c:pt>
                <c:pt idx="53">
                  <c:v>650.14854272914761</c:v>
                </c:pt>
                <c:pt idx="54">
                  <c:v>664.98228551186753</c:v>
                </c:pt>
                <c:pt idx="55">
                  <c:v>679.80922259999909</c:v>
                </c:pt>
                <c:pt idx="56">
                  <c:v>645.43796637298954</c:v>
                </c:pt>
                <c:pt idx="57">
                  <c:v>654.62293835901619</c:v>
                </c:pt>
                <c:pt idx="58">
                  <c:v>663.80525525225971</c:v>
                </c:pt>
                <c:pt idx="59">
                  <c:v>672.98495895127326</c:v>
                </c:pt>
                <c:pt idx="60">
                  <c:v>682.16209011862327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G41" sqref="G4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4.3600000000000003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0.36</v>
      </c>
      <c r="D9" s="36">
        <f t="shared" ref="D9:D18" si="0">C9*$C$5</f>
        <v>1.5696000000000001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20</v>
      </c>
      <c r="C10" s="35">
        <v>0.34</v>
      </c>
      <c r="D10" s="36">
        <f t="shared" si="0"/>
        <v>1.4824000000000002</v>
      </c>
      <c r="E10" s="37">
        <v>56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0.3</v>
      </c>
      <c r="D11" s="36">
        <f t="shared" si="0"/>
        <v>1.3080000000000001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4.3600000000000003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23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7.0434782608695654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218</v>
      </c>
      <c r="C37" s="63">
        <v>2</v>
      </c>
      <c r="D37" s="63">
        <v>14</v>
      </c>
      <c r="E37" s="54"/>
      <c r="F37" s="54"/>
      <c r="G37" s="54">
        <v>1</v>
      </c>
      <c r="H37" s="54"/>
      <c r="I37" s="56">
        <f t="shared" ref="I37:I55" si="1">IF(A37&lt;&gt;0,(B37-(B36-D36))/(A37-A36),"")</f>
        <v>28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328</v>
      </c>
      <c r="C38" s="63">
        <v>3</v>
      </c>
      <c r="D38" s="63">
        <v>42</v>
      </c>
      <c r="E38" s="54"/>
      <c r="F38" s="54">
        <v>0.1</v>
      </c>
      <c r="G38" s="54">
        <v>0.9</v>
      </c>
      <c r="H38" s="54"/>
      <c r="I38" s="56">
        <f t="shared" si="1"/>
        <v>24.8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410</v>
      </c>
      <c r="C39" s="63">
        <v>4</v>
      </c>
      <c r="D39" s="63">
        <v>49</v>
      </c>
      <c r="E39" s="54"/>
      <c r="F39" s="54"/>
      <c r="G39" s="54"/>
      <c r="H39" s="54"/>
      <c r="I39" s="52">
        <f t="shared" si="1"/>
        <v>24.8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481</v>
      </c>
      <c r="C40" s="63">
        <v>5</v>
      </c>
      <c r="D40" s="63">
        <v>58</v>
      </c>
      <c r="E40" s="54"/>
      <c r="F40" s="54"/>
      <c r="G40" s="54"/>
      <c r="H40" s="54"/>
      <c r="I40" s="52">
        <f t="shared" si="1"/>
        <v>24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526</v>
      </c>
      <c r="C41" s="63">
        <v>6</v>
      </c>
      <c r="D41" s="63">
        <v>57</v>
      </c>
      <c r="E41" s="54"/>
      <c r="F41" s="54"/>
      <c r="G41" s="54"/>
      <c r="H41" s="54"/>
      <c r="I41" s="56">
        <f t="shared" si="1"/>
        <v>20.6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544</v>
      </c>
      <c r="C42" s="63">
        <v>7</v>
      </c>
      <c r="D42" s="63">
        <v>42</v>
      </c>
      <c r="E42" s="54"/>
      <c r="F42" s="54"/>
      <c r="G42" s="54"/>
      <c r="H42" s="54"/>
      <c r="I42" s="56">
        <f t="shared" si="1"/>
        <v>15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565</v>
      </c>
      <c r="C43" s="63">
        <v>8</v>
      </c>
      <c r="D43" s="63">
        <v>37</v>
      </c>
      <c r="E43" s="54"/>
      <c r="F43" s="54"/>
      <c r="G43" s="54"/>
      <c r="H43" s="54"/>
      <c r="I43" s="52">
        <f t="shared" si="1"/>
        <v>12.6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567</v>
      </c>
      <c r="C44" s="63">
        <v>9</v>
      </c>
      <c r="D44" s="63">
        <v>567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Epicéa de Sitka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155</v>
      </c>
      <c r="C62" s="63">
        <v>1</v>
      </c>
      <c r="D62" s="63">
        <v>52</v>
      </c>
      <c r="E62" s="54"/>
      <c r="F62" s="54"/>
      <c r="G62" s="54">
        <v>1</v>
      </c>
      <c r="H62" s="54"/>
      <c r="I62" s="56">
        <f>IFERROR(B62/A62,"")</f>
        <v>6.2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29</v>
      </c>
      <c r="B63" s="63">
        <v>213</v>
      </c>
      <c r="C63" s="63">
        <v>2</v>
      </c>
      <c r="D63" s="63">
        <v>52</v>
      </c>
      <c r="E63" s="54"/>
      <c r="F63" s="54"/>
      <c r="G63" s="54">
        <v>1</v>
      </c>
      <c r="H63" s="54"/>
      <c r="I63" s="52">
        <f>IF(A63&lt;&gt;0,(B63-(B62-D62))/(A63-A62),"")</f>
        <v>27.5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34</v>
      </c>
      <c r="B64" s="63">
        <v>321</v>
      </c>
      <c r="C64" s="63">
        <v>3</v>
      </c>
      <c r="D64" s="63">
        <v>65</v>
      </c>
      <c r="E64" s="54"/>
      <c r="F64" s="54"/>
      <c r="G64" s="54"/>
      <c r="H64" s="54"/>
      <c r="I64" s="52">
        <f>IF(A64&lt;&gt;0,(B64-(B63-D63))/(A64-A63),"")</f>
        <v>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39</v>
      </c>
      <c r="B65" s="63">
        <v>418</v>
      </c>
      <c r="C65" s="63">
        <v>4</v>
      </c>
      <c r="D65" s="63">
        <v>70</v>
      </c>
      <c r="E65" s="54"/>
      <c r="F65" s="54"/>
      <c r="G65" s="54"/>
      <c r="H65" s="54"/>
      <c r="I65" s="52">
        <f>IF(A65&lt;&gt;0,(B65-(B64-D64))/(A65-A64),"")</f>
        <v>32.4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44</v>
      </c>
      <c r="B66" s="63">
        <v>497</v>
      </c>
      <c r="C66" s="63">
        <v>5</v>
      </c>
      <c r="D66" s="63">
        <v>53</v>
      </c>
      <c r="E66" s="54"/>
      <c r="F66" s="54"/>
      <c r="G66" s="54"/>
      <c r="H66" s="54"/>
      <c r="I66" s="52">
        <f t="shared" ref="I66:I81" si="2">IF(A66&lt;&gt;0,(B66-(B65-D65))/(A66-A65),"")</f>
        <v>29.8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596</v>
      </c>
      <c r="C67" s="63">
        <v>6</v>
      </c>
      <c r="D67" s="63">
        <v>55</v>
      </c>
      <c r="E67" s="54"/>
      <c r="F67" s="54"/>
      <c r="G67" s="54"/>
      <c r="H67" s="54"/>
      <c r="I67" s="52">
        <f t="shared" si="2"/>
        <v>25.333333333333332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662</v>
      </c>
      <c r="C68" s="63">
        <v>7</v>
      </c>
      <c r="D68" s="63">
        <v>662</v>
      </c>
      <c r="E68" s="54"/>
      <c r="F68" s="54"/>
      <c r="G68" s="54"/>
      <c r="H68" s="54"/>
      <c r="I68" s="52">
        <f t="shared" si="2"/>
        <v>20.166666666666668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132</v>
      </c>
      <c r="C88" s="63">
        <v>1</v>
      </c>
      <c r="D88" s="63">
        <v>50</v>
      </c>
      <c r="E88" s="54"/>
      <c r="F88" s="54"/>
      <c r="G88" s="54">
        <v>1</v>
      </c>
      <c r="H88" s="93"/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143</v>
      </c>
      <c r="C89" s="63">
        <v>2</v>
      </c>
      <c r="D89" s="63">
        <v>37</v>
      </c>
      <c r="E89" s="54"/>
      <c r="F89" s="54"/>
      <c r="G89" s="54">
        <v>1</v>
      </c>
      <c r="H89" s="93"/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163</v>
      </c>
      <c r="C90" s="63">
        <v>3</v>
      </c>
      <c r="D90" s="63">
        <v>37</v>
      </c>
      <c r="E90" s="93"/>
      <c r="F90" s="93"/>
      <c r="G90" s="93">
        <v>1</v>
      </c>
      <c r="H90" s="93"/>
      <c r="I90" s="56">
        <f t="shared" si="3"/>
        <v>11.4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179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10.6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191</v>
      </c>
      <c r="C92" s="63">
        <v>5</v>
      </c>
      <c r="D92" s="63">
        <v>33</v>
      </c>
      <c r="E92" s="93"/>
      <c r="F92" s="93"/>
      <c r="G92" s="93"/>
      <c r="H92" s="93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201</v>
      </c>
      <c r="C93" s="63">
        <v>6</v>
      </c>
      <c r="D93" s="63">
        <v>31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209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215</v>
      </c>
      <c r="C95" s="63">
        <v>8</v>
      </c>
      <c r="D95" s="63">
        <v>25</v>
      </c>
      <c r="E95" s="93"/>
      <c r="F95" s="93"/>
      <c r="G95" s="93"/>
      <c r="H95" s="93"/>
      <c r="I95" s="56">
        <f t="shared" si="3"/>
        <v>6.8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220</v>
      </c>
      <c r="C96" s="63">
        <v>9</v>
      </c>
      <c r="D96" s="63">
        <v>22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224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227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4.5999999999999996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230</v>
      </c>
      <c r="C99" s="63">
        <v>12</v>
      </c>
      <c r="D99" s="63">
        <v>15</v>
      </c>
      <c r="E99" s="93"/>
      <c r="F99" s="93"/>
      <c r="G99" s="93"/>
      <c r="H99" s="93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232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234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236</v>
      </c>
      <c r="C102" s="63">
        <v>15</v>
      </c>
      <c r="D102" s="53">
        <v>236</v>
      </c>
      <c r="E102" s="57"/>
      <c r="F102" s="57"/>
      <c r="G102" s="57"/>
      <c r="H102" s="57"/>
      <c r="I102" s="56">
        <f t="shared" si="3"/>
        <v>2.8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0" sqref="C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0.87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0.13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ERREUR : corrigez ; le total n'est pas égal à celui de la cellule B8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Epicéa de Sitka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rouge d'Amérique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290.0333333333333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290.0333333333333</v>
      </c>
      <c r="S3" s="62">
        <f ca="1">AVERAGE(OFFSET($R$3,0,0,'Données projet'!$E$9+1,1))-AVERAGE(OFFSET($H$3,0,0,'Données projet'!$E$9+1,1))</f>
        <v>358.51982625142648</v>
      </c>
      <c r="T3" s="62">
        <f>IF('Données projet'!E9&gt;30,$R$33-$H$33,LOOKUP('Données projet'!$E$9,$A$3:$A$203,R3:R203)-LOOKUP('Données projet'!$E$9,$A$3:$A$203,$H$3:$H$203))</f>
        <v>432.55677461330856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290.0333333333333</v>
      </c>
      <c r="AN3" s="62">
        <f ca="1">AVERAGE(OFFSET($AM$3,0,0,'Données projet'!$E$10+1,1))-AVERAGE(OFFSET($H$3,0,0,'Données projet'!$E$10+1,1))</f>
        <v>264.16738206207805</v>
      </c>
      <c r="AO3" s="62">
        <f>IF('Données projet'!E10&gt;30,$AM$33-$H$33,LOOKUP('Données projet'!$E$10,$A$3:$A$203,AM3:AM203)-LOOKUP('Données projet'!$E$10,$A$3:$A$203,$H$3:$H$203))</f>
        <v>233.21990345647771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290.0333333333333</v>
      </c>
      <c r="BI3" s="62">
        <f ca="1">AVERAGE(OFFSET($BH$3,0,0,'Données projet'!$E$11+1,1))-AVERAGE(OFFSET($H$3,0,0,'Données projet'!$E$11+1,1))</f>
        <v>316.00112010575197</v>
      </c>
      <c r="BJ3" s="62">
        <f>IF('Données projet'!E11&gt;30,$BH$33-$H$33,LOOKUP('Données projet'!$E$11,$A$3:$A$203,BH3:BH203)-LOOKUP('Données projet'!$E$11,$A$3:$A$203,$H$3:$H$203))</f>
        <v>345.16550310248078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79.099999999999994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0.115596</v>
      </c>
      <c r="D4" s="12">
        <f>IFERROR(EXP(-1.0587+0.8836*LN(C4)+0.284),0)</f>
        <v>6.8480721690467913E-2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0.18472260492446957</v>
      </c>
      <c r="H4" s="70">
        <f t="shared" ref="H4:H67" si="1">(B4+E4+F4)*44/12+(C4+D4)*0.475*44/12</f>
        <v>290.35393362361089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7.0434782608695654</v>
      </c>
      <c r="N4" s="14">
        <f>IF('Données projet'!$A$36&gt;35,N3+M4-V3,IF(A4&lt;'Données projet'!$A$36,$K$205^A4,IF(A4='Données projet'!$A$36,'Données projet'!$B$36,N3+M4-V3)))</f>
        <v>1.2475727214128975</v>
      </c>
      <c r="O4" s="14">
        <f>N4*VLOOKUP('Données projet'!$B$9,Paramètres!$A$1:$I$89,3,0)*VLOOKUP('Données projet'!$B$9,Paramètres!$A$1:$I$89,5,0)</f>
        <v>0.69739315126980972</v>
      </c>
      <c r="P4" s="14">
        <f>EXP(-1.0587+0.8836*LN(O4)+0.284)</f>
        <v>0.33515749918532894</v>
      </c>
      <c r="Q4" s="22">
        <f t="shared" ref="Q4:Q34" si="2">(O4+P4)*0.475*44/12</f>
        <v>1.7983590495427</v>
      </c>
      <c r="R4" s="62">
        <f t="shared" si="0"/>
        <v>293.21280349398711</v>
      </c>
      <c r="S4" s="62">
        <f ca="1">AVERAGE(OFFSET($R$3,0,0,'Données projet'!$E$9+1,1))-AVERAGE(OFFSET($H$3,0,0,'Données projet'!$E$9+1,1))</f>
        <v>358.51982625142648</v>
      </c>
      <c r="T4" s="62">
        <f>$T$3</f>
        <v>432.55677461330856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6.2</v>
      </c>
      <c r="AI4" s="14">
        <f>IF('Données projet'!$A$62&gt;35,AI3+AH4-AQ3,IF(A4&lt;'Données projet'!$A$62,$AF$205^A4,IF(A4='Données projet'!$A$62,'Données projet'!$B$62,AI3+AH4-AQ3)))</f>
        <v>1.2235261841298362</v>
      </c>
      <c r="AJ4" s="14">
        <f>AI4*VLOOKUP('Données projet'!$B$10,Paramètres!$A$1:$I$89,3,0)*VLOOKUP('Données projet'!$B$10,Paramètres!$A$1:$I$89,5,0)</f>
        <v>0.57261025417276334</v>
      </c>
      <c r="AK4" s="14">
        <f>EXP(-1.0587+0.8836*LN(AJ4)+0.284)</f>
        <v>0.28157648563444393</v>
      </c>
      <c r="AL4" s="22">
        <f t="shared" ref="AL4:AL67" si="4">(AJ4+AK4)*0.475*44/12</f>
        <v>1.487708571830886</v>
      </c>
      <c r="AM4" s="62">
        <f t="shared" ref="AM4:AM67" si="5">AL4+(AD4+AE4)*44/12</f>
        <v>292.90215301627529</v>
      </c>
      <c r="AN4" s="62">
        <f ca="1">AVERAGE(OFFSET($AM$3,0,0,'Données projet'!$E$10+1,1))-AVERAGE(OFFSET($H$3,0,0,'Données projet'!$E$10+1,1))</f>
        <v>264.16738206207805</v>
      </c>
      <c r="AO4" s="62">
        <f>$AO$3</f>
        <v>233.21990345647771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projet'!$B$11,Paramètres!$A$1:$I$89,3,0)*VLOOKUP('Données projet'!$B$11,Paramètres!$A$1:$I$89,5,0)</f>
        <v>1.1151706272608224</v>
      </c>
      <c r="BF4" s="14">
        <f>EXP(-1.0587+0.8836*LN(BE4)+0.284)</f>
        <v>0.50743784838663863</v>
      </c>
      <c r="BG4" s="22">
        <f t="shared" ref="BG4:BG67" si="7">(BE4+BF4)*0.475*44/12</f>
        <v>2.8260430950859945</v>
      </c>
      <c r="BH4" s="62">
        <f t="shared" ref="BH4:BH67" si="8">BG4+(AY4+AZ4)*44/12</f>
        <v>294.24048753953042</v>
      </c>
      <c r="BI4" s="62">
        <f ca="1">AVERAGE(OFFSET($BH$3,0,0,'Données projet'!$E$11+1,1))-AVERAGE(OFFSET($H$3,0,0,'Données projet'!$E$11+1,1))</f>
        <v>316.00112010575197</v>
      </c>
      <c r="BJ4" s="62">
        <f>$BJ$3</f>
        <v>345.16550310248078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79.099999999999994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0.37666666666666665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0.23119200000000001</v>
      </c>
      <c r="D5" s="12">
        <f t="shared" ref="D5:D68" si="32">IFERROR(EXP(-1.0587+0.8836*LN(C5)+0.284),0)</f>
        <v>0.12634510850381211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0.358791624674001</v>
      </c>
      <c r="H5" s="70">
        <f t="shared" si="1"/>
        <v>290.65604379731076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7.0434782608695654</v>
      </c>
      <c r="N5" s="14">
        <f>IF('Données projet'!$A$36&gt;35,N4+M5-V4,IF(A5&lt;'Données projet'!$A$36,$K$205^A5,IF(A5='Données projet'!$A$36,'Données projet'!$B$36,N4+M5-V4)))</f>
        <v>1.5564376952135832</v>
      </c>
      <c r="O5" s="14">
        <f>N5*VLOOKUP('Données projet'!$B$9,Paramètres!$A$1:$I$89,3,0)*VLOOKUP('Données projet'!$B$9,Paramètres!$A$1:$I$89,5,0)</f>
        <v>0.87004867162439303</v>
      </c>
      <c r="P5" s="14">
        <f t="shared" ref="P5:P68" si="33">EXP(-1.0587+0.8836*LN(O5)+0.284)</f>
        <v>0.40750481451495241</v>
      </c>
      <c r="Q5" s="22">
        <f t="shared" si="2"/>
        <v>2.2250723216926933</v>
      </c>
      <c r="R5" s="62">
        <f t="shared" si="0"/>
        <v>295.02062787724822</v>
      </c>
      <c r="S5" s="62">
        <f ca="1">AVERAGE(OFFSET($R$3,0,0,'Données projet'!$E$9+1,1))-AVERAGE(OFFSET($H$3,0,0,'Données projet'!$E$9+1,1))</f>
        <v>358.51982625142648</v>
      </c>
      <c r="T5" s="62">
        <f t="shared" ref="T5:T68" si="34">$T$3</f>
        <v>432.55677461330856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6.2</v>
      </c>
      <c r="AI5" s="14">
        <f>IF('Données projet'!$A$62&gt;35,AI4+AH5-AQ4,IF(A5&lt;'Données projet'!$A$62,$AF$205^A5,IF(A5='Données projet'!$A$62,'Données projet'!$B$62,AI4+AH5-AQ4)))</f>
        <v>1.4970163232513178</v>
      </c>
      <c r="AJ5" s="14">
        <f>AI5*VLOOKUP('Données projet'!$B$10,Paramètres!$A$1:$I$89,3,0)*VLOOKUP('Données projet'!$B$10,Paramètres!$A$1:$I$89,5,0)</f>
        <v>0.70060363928161673</v>
      </c>
      <c r="AK5" s="14">
        <f t="shared" ref="AK5:AK68" si="35">EXP(-1.0587+0.8836*LN(AJ5)+0.284)</f>
        <v>0.33652045522051222</v>
      </c>
      <c r="AL5" s="22">
        <f t="shared" si="4"/>
        <v>1.8063244645912075</v>
      </c>
      <c r="AM5" s="62">
        <f t="shared" si="5"/>
        <v>294.60188002014672</v>
      </c>
      <c r="AN5" s="62">
        <f ca="1">AVERAGE(OFFSET($AM$3,0,0,'Données projet'!$E$10+1,1))-AVERAGE(OFFSET($H$3,0,0,'Données projet'!$E$10+1,1))</f>
        <v>264.16738206207805</v>
      </c>
      <c r="AO5" s="62">
        <f t="shared" ref="AO5:AO68" si="36">$AO$3</f>
        <v>233.21990345647771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projet'!$B$11,Paramètres!$A$1:$I$89,3,0)*VLOOKUP('Données projet'!$B$11,Paramètres!$A$1:$I$89,5,0)</f>
        <v>1.4235411262652198</v>
      </c>
      <c r="BF5" s="14">
        <f t="shared" ref="BF5:BF68" si="37">EXP(-1.0587+0.8836*LN(BE5)+0.284)</f>
        <v>0.62960738463416654</v>
      </c>
      <c r="BG5" s="22">
        <f t="shared" si="7"/>
        <v>3.5759003231497637</v>
      </c>
      <c r="BH5" s="62">
        <f t="shared" si="8"/>
        <v>296.37145587870526</v>
      </c>
      <c r="BI5" s="62">
        <f ca="1">AVERAGE(OFFSET($BH$3,0,0,'Données projet'!$E$11+1,1))-AVERAGE(OFFSET($H$3,0,0,'Données projet'!$E$11+1,1))</f>
        <v>316.00112010575197</v>
      </c>
      <c r="BJ5" s="62">
        <f t="shared" ref="BJ5:BJ68" si="38">$BJ$3</f>
        <v>345.16550310248078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79.099999999999994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0.7533333333333333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0.34678799999999999</v>
      </c>
      <c r="D6" s="12">
        <f t="shared" si="32"/>
        <v>0.18078095205851968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0.52942007118854961</v>
      </c>
      <c r="H6" s="70">
        <f t="shared" si="1"/>
        <v>290.95218259150187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7.0434782608695654</v>
      </c>
      <c r="N6" s="14">
        <f>IF('Données projet'!$A$36&gt;35,N5+M6-V5,IF(A6&lt;'Données projet'!$A$36,$K$205^A6,IF(A6='Données projet'!$A$36,'Données projet'!$B$36,N5+M6-V5)))</f>
        <v>1.941769211127228</v>
      </c>
      <c r="O6" s="14">
        <f>N6*VLOOKUP('Données projet'!$B$9,Paramètres!$A$1:$I$89,3,0)*VLOOKUP('Données projet'!$B$9,Paramètres!$A$1:$I$89,5,0)</f>
        <v>1.0854489890201204</v>
      </c>
      <c r="P6" s="14">
        <f t="shared" si="33"/>
        <v>0.49546906829329518</v>
      </c>
      <c r="Q6" s="22">
        <f t="shared" si="2"/>
        <v>2.7534322831541989</v>
      </c>
      <c r="R6" s="62">
        <f t="shared" si="0"/>
        <v>296.93009894982083</v>
      </c>
      <c r="S6" s="62">
        <f ca="1">AVERAGE(OFFSET($R$3,0,0,'Données projet'!$E$9+1,1))-AVERAGE(OFFSET($H$3,0,0,'Données projet'!$E$9+1,1))</f>
        <v>358.51982625142648</v>
      </c>
      <c r="T6" s="62">
        <f t="shared" si="34"/>
        <v>432.55677461330856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6.2</v>
      </c>
      <c r="AI6" s="14">
        <f>IF('Données projet'!$A$62&gt;35,AI5+AH6-AQ5,IF(A6&lt;'Données projet'!$A$62,$AF$205^A6,IF(A6='Données projet'!$A$62,'Données projet'!$B$62,AI5+AH6-AQ5)))</f>
        <v>1.8316386695677622</v>
      </c>
      <c r="AJ6" s="14">
        <f>AI6*VLOOKUP('Données projet'!$B$10,Paramètres!$A$1:$I$89,3,0)*VLOOKUP('Données projet'!$B$10,Paramètres!$A$1:$I$89,5,0)</f>
        <v>0.85720689735771283</v>
      </c>
      <c r="AK6" s="14">
        <f t="shared" si="35"/>
        <v>0.40218563182453443</v>
      </c>
      <c r="AL6" s="22">
        <f t="shared" si="4"/>
        <v>2.193441988325747</v>
      </c>
      <c r="AM6" s="62">
        <f t="shared" si="5"/>
        <v>296.37010865499235</v>
      </c>
      <c r="AN6" s="62">
        <f ca="1">AVERAGE(OFFSET($AM$3,0,0,'Données projet'!$E$10+1,1))-AVERAGE(OFFSET($H$3,0,0,'Données projet'!$E$10+1,1))</f>
        <v>264.16738206207805</v>
      </c>
      <c r="AO6" s="62">
        <f t="shared" si="36"/>
        <v>233.21990345647771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projet'!$B$11,Paramètres!$A$1:$I$89,3,0)*VLOOKUP('Données projet'!$B$11,Paramètres!$A$1:$I$89,5,0)</f>
        <v>1.8171832082288948</v>
      </c>
      <c r="BF6" s="14">
        <f t="shared" si="37"/>
        <v>0.7811901694881791</v>
      </c>
      <c r="BG6" s="22">
        <f t="shared" si="7"/>
        <v>4.5255002995239044</v>
      </c>
      <c r="BH6" s="62">
        <f t="shared" si="8"/>
        <v>298.70216696619053</v>
      </c>
      <c r="BI6" s="62">
        <f ca="1">AVERAGE(OFFSET($BH$3,0,0,'Données projet'!$E$11+1,1))-AVERAGE(OFFSET($H$3,0,0,'Données projet'!$E$11+1,1))</f>
        <v>316.00112010575197</v>
      </c>
      <c r="BJ6" s="62">
        <f t="shared" si="38"/>
        <v>345.16550310248078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79.099999999999994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1.1299999999999999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0.46238400000000002</v>
      </c>
      <c r="D7" s="12">
        <f t="shared" si="32"/>
        <v>0.23310336177520194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0.69792766830774655</v>
      </c>
      <c r="H7" s="70">
        <f t="shared" si="1"/>
        <v>291.24464048842509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7.0434782608695654</v>
      </c>
      <c r="N7" s="14">
        <f>IF('Données projet'!$A$36&gt;35,N6+M7-V6,IF(A7&lt;'Données projet'!$A$36,$K$205^A7,IF(A7='Données projet'!$A$36,'Données projet'!$B$36,N6+M7-V6)))</f>
        <v>2.4224982990817709</v>
      </c>
      <c r="O7" s="14">
        <f>N7*VLOOKUP('Données projet'!$B$9,Paramètres!$A$1:$I$89,3,0)*VLOOKUP('Données projet'!$B$9,Paramètres!$A$1:$I$89,5,0)</f>
        <v>1.3541765491867099</v>
      </c>
      <c r="P7" s="14">
        <f t="shared" si="33"/>
        <v>0.60242134299107364</v>
      </c>
      <c r="Q7" s="22">
        <f t="shared" si="2"/>
        <v>3.4077413288763059</v>
      </c>
      <c r="R7" s="62">
        <f t="shared" si="0"/>
        <v>298.96551910665403</v>
      </c>
      <c r="S7" s="62">
        <f ca="1">AVERAGE(OFFSET($R$3,0,0,'Données projet'!$E$9+1,1))-AVERAGE(OFFSET($H$3,0,0,'Données projet'!$E$9+1,1))</f>
        <v>358.51982625142648</v>
      </c>
      <c r="T7" s="62">
        <f t="shared" si="34"/>
        <v>432.55677461330856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6.2</v>
      </c>
      <c r="AI7" s="14">
        <f>IF('Données projet'!$A$62&gt;35,AI6+AH7-AQ6,IF(A7&lt;'Données projet'!$A$62,$AF$205^A7,IF(A7='Données projet'!$A$62,'Données projet'!$B$62,AI6+AH7-AQ6)))</f>
        <v>2.2410578720808942</v>
      </c>
      <c r="AJ7" s="14">
        <f>AI7*VLOOKUP('Données projet'!$B$10,Paramètres!$A$1:$I$89,3,0)*VLOOKUP('Données projet'!$B$10,Paramètres!$A$1:$I$89,5,0)</f>
        <v>1.0488150841338586</v>
      </c>
      <c r="AK7" s="14">
        <f t="shared" si="35"/>
        <v>0.48066404266601759</v>
      </c>
      <c r="AL7" s="22">
        <f t="shared" si="4"/>
        <v>2.6638428125097842</v>
      </c>
      <c r="AM7" s="62">
        <f t="shared" si="5"/>
        <v>298.2216205902875</v>
      </c>
      <c r="AN7" s="62">
        <f ca="1">AVERAGE(OFFSET($AM$3,0,0,'Données projet'!$E$10+1,1))-AVERAGE(OFFSET($H$3,0,0,'Données projet'!$E$10+1,1))</f>
        <v>264.16738206207805</v>
      </c>
      <c r="AO7" s="62">
        <f t="shared" si="36"/>
        <v>233.21990345647771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projet'!$B$11,Paramètres!$A$1:$I$89,3,0)*VLOOKUP('Données projet'!$B$11,Paramètres!$A$1:$I$89,5,0)</f>
        <v>2.3196764402111376</v>
      </c>
      <c r="BF7" s="14">
        <f t="shared" si="37"/>
        <v>0.96926766711854973</v>
      </c>
      <c r="BG7" s="22">
        <f t="shared" si="7"/>
        <v>5.7282443202658717</v>
      </c>
      <c r="BH7" s="62">
        <f t="shared" si="8"/>
        <v>301.28602209804359</v>
      </c>
      <c r="BI7" s="62">
        <f ca="1">AVERAGE(OFFSET($BH$3,0,0,'Données projet'!$E$11+1,1))-AVERAGE(OFFSET($H$3,0,0,'Données projet'!$E$11+1,1))</f>
        <v>316.00112010575197</v>
      </c>
      <c r="BJ7" s="62">
        <f t="shared" si="38"/>
        <v>345.16550310248078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79.099999999999994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1.5066666666666666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0.57798000000000005</v>
      </c>
      <c r="D8" s="12">
        <f t="shared" si="32"/>
        <v>0.28390838835541737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0.8649125581391206</v>
      </c>
      <c r="H8" s="70">
        <f t="shared" si="1"/>
        <v>291.53445560971898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7.0434782608695654</v>
      </c>
      <c r="N8" s="14">
        <f>IF('Données projet'!$A$36&gt;35,N7+M8-V7,IF(A8&lt;'Données projet'!$A$36,$K$205^A8,IF(A8='Données projet'!$A$36,'Données projet'!$B$36,N7+M8-V7)))</f>
        <v>3.0222427956035602</v>
      </c>
      <c r="O8" s="14">
        <f>N8*VLOOKUP('Données projet'!$B$9,Paramètres!$A$1:$I$89,3,0)*VLOOKUP('Données projet'!$B$9,Paramètres!$A$1:$I$89,5,0)</f>
        <v>1.6894337227423903</v>
      </c>
      <c r="P8" s="14">
        <f t="shared" si="33"/>
        <v>0.73246040512935062</v>
      </c>
      <c r="Q8" s="22">
        <f t="shared" si="2"/>
        <v>4.2181322727099486</v>
      </c>
      <c r="R8" s="62">
        <f t="shared" si="0"/>
        <v>301.15702116159889</v>
      </c>
      <c r="S8" s="62">
        <f ca="1">AVERAGE(OFFSET($R$3,0,0,'Données projet'!$E$9+1,1))-AVERAGE(OFFSET($H$3,0,0,'Données projet'!$E$9+1,1))</f>
        <v>358.51982625142648</v>
      </c>
      <c r="T8" s="62">
        <f t="shared" si="34"/>
        <v>432.55677461330856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6.2</v>
      </c>
      <c r="AI8" s="14">
        <f>IF('Données projet'!$A$62&gt;35,AI7+AH8-AQ7,IF(A8&lt;'Données projet'!$A$62,$AF$205^A8,IF(A8='Données projet'!$A$62,'Données projet'!$B$62,AI7+AH8-AQ7)))</f>
        <v>2.7419929866412671</v>
      </c>
      <c r="AJ8" s="14">
        <f>AI8*VLOOKUP('Données projet'!$B$10,Paramètres!$A$1:$I$89,3,0)*VLOOKUP('Données projet'!$B$10,Paramètres!$A$1:$I$89,5,0)</f>
        <v>1.283252717748113</v>
      </c>
      <c r="AK8" s="14">
        <f t="shared" si="35"/>
        <v>0.57445593186391197</v>
      </c>
      <c r="AL8" s="22">
        <f t="shared" si="4"/>
        <v>3.2355092314076099</v>
      </c>
      <c r="AM8" s="62">
        <f t="shared" si="5"/>
        <v>300.17439812029653</v>
      </c>
      <c r="AN8" s="62">
        <f ca="1">AVERAGE(OFFSET($AM$3,0,0,'Données projet'!$E$10+1,1))-AVERAGE(OFFSET($H$3,0,0,'Données projet'!$E$10+1,1))</f>
        <v>264.16738206207805</v>
      </c>
      <c r="AO8" s="62">
        <f t="shared" si="36"/>
        <v>233.21990345647771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projet'!$B$11,Paramètres!$A$1:$I$89,3,0)*VLOOKUP('Données projet'!$B$11,Paramètres!$A$1:$I$89,5,0)</f>
        <v>2.9611206855224426</v>
      </c>
      <c r="BF8" s="14">
        <f t="shared" si="37"/>
        <v>1.2026262582604759</v>
      </c>
      <c r="BG8" s="22">
        <f t="shared" si="7"/>
        <v>7.2518592604219156</v>
      </c>
      <c r="BH8" s="62">
        <f t="shared" si="8"/>
        <v>304.19074814931082</v>
      </c>
      <c r="BI8" s="62">
        <f ca="1">AVERAGE(OFFSET($BH$3,0,0,'Données projet'!$E$11+1,1))-AVERAGE(OFFSET($H$3,0,0,'Données projet'!$E$11+1,1))</f>
        <v>316.00112010575197</v>
      </c>
      <c r="BJ8" s="62">
        <f t="shared" si="38"/>
        <v>345.16550310248078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79.099999999999994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1.8833333333333331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0.69357600000000008</v>
      </c>
      <c r="D9" s="12">
        <f t="shared" si="32"/>
        <v>0.33353604400514691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1.0307159459139368</v>
      </c>
      <c r="H9" s="70">
        <f t="shared" si="1"/>
        <v>291.82222014330893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7.0434782608695654</v>
      </c>
      <c r="N9" s="14">
        <f>IF('Données projet'!$A$36&gt;35,N8+M9-V8,IF(A9&lt;'Données projet'!$A$36,$K$205^A9,IF(A9='Données projet'!$A$36,'Données projet'!$B$36,N8+M9-V8)))</f>
        <v>3.7704676692816572</v>
      </c>
      <c r="O9" s="14">
        <f>N9*VLOOKUP('Données projet'!$B$9,Paramètres!$A$1:$I$89,3,0)*VLOOKUP('Données projet'!$B$9,Paramètres!$A$1:$I$89,5,0)</f>
        <v>2.1076914271284464</v>
      </c>
      <c r="P9" s="14">
        <f t="shared" si="33"/>
        <v>0.89056978363099237</v>
      </c>
      <c r="Q9" s="22">
        <f t="shared" si="2"/>
        <v>5.2219716087393548</v>
      </c>
      <c r="R9" s="62">
        <f t="shared" si="0"/>
        <v>303.54197160873935</v>
      </c>
      <c r="S9" s="62">
        <f ca="1">AVERAGE(OFFSET($R$3,0,0,'Données projet'!$E$9+1,1))-AVERAGE(OFFSET($H$3,0,0,'Données projet'!$E$9+1,1))</f>
        <v>358.51982625142648</v>
      </c>
      <c r="T9" s="62">
        <f t="shared" si="34"/>
        <v>432.55677461330856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6.2</v>
      </c>
      <c r="AI9" s="14">
        <f>IF('Données projet'!$A$62&gt;35,AI8+AH9-AQ8,IF(A9&lt;'Données projet'!$A$62,$AF$205^A9,IF(A9='Données projet'!$A$62,'Données projet'!$B$62,AI8+AH9-AQ8)))</f>
        <v>3.3549002158559627</v>
      </c>
      <c r="AJ9" s="14">
        <f>AI9*VLOOKUP('Données projet'!$B$10,Paramètres!$A$1:$I$89,3,0)*VLOOKUP('Données projet'!$B$10,Paramètres!$A$1:$I$89,5,0)</f>
        <v>1.5700933010205904</v>
      </c>
      <c r="AK9" s="14">
        <f t="shared" si="35"/>
        <v>0.68654941572763117</v>
      </c>
      <c r="AL9" s="22">
        <f t="shared" si="4"/>
        <v>3.9303193983364859</v>
      </c>
      <c r="AM9" s="62">
        <f t="shared" si="5"/>
        <v>302.2503193983365</v>
      </c>
      <c r="AN9" s="62">
        <f ca="1">AVERAGE(OFFSET($AM$3,0,0,'Données projet'!$E$10+1,1))-AVERAGE(OFFSET($H$3,0,0,'Données projet'!$E$10+1,1))</f>
        <v>264.16738206207805</v>
      </c>
      <c r="AO9" s="62">
        <f t="shared" si="36"/>
        <v>233.21990345647771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projet'!$B$11,Paramètres!$A$1:$I$89,3,0)*VLOOKUP('Données projet'!$B$11,Paramètres!$A$1:$I$89,5,0)</f>
        <v>3.7799391166083551</v>
      </c>
      <c r="BF9" s="14">
        <f t="shared" si="37"/>
        <v>1.4921677118944865</v>
      </c>
      <c r="BG9" s="22">
        <f t="shared" si="7"/>
        <v>9.1822527263091143</v>
      </c>
      <c r="BH9" s="62">
        <f t="shared" si="8"/>
        <v>307.50225272630911</v>
      </c>
      <c r="BI9" s="62">
        <f ca="1">AVERAGE(OFFSET($BH$3,0,0,'Données projet'!$E$11+1,1))-AVERAGE(OFFSET($H$3,0,0,'Données projet'!$E$11+1,1))</f>
        <v>316.00112010575197</v>
      </c>
      <c r="BJ9" s="62">
        <f t="shared" si="38"/>
        <v>345.16550310248078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79.099999999999994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2.2599999999999998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0.80917200000000011</v>
      </c>
      <c r="D10" s="12">
        <f t="shared" si="32"/>
        <v>0.3822055214468229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1.1955577934518997</v>
      </c>
      <c r="H10" s="70">
        <f t="shared" si="1"/>
        <v>292.10831584985317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7.0434782608695654</v>
      </c>
      <c r="N10" s="14">
        <f>IF('Données projet'!$A$36&gt;35,N9+M10-V9,IF(A10&lt;'Données projet'!$A$36,$K$205^A10,IF(A10='Données projet'!$A$36,'Données projet'!$B$36,N9+M10-V9)))</f>
        <v>4.7039326111650617</v>
      </c>
      <c r="O10" s="14">
        <f>N10*VLOOKUP('Données projet'!$B$9,Paramètres!$A$1:$I$89,3,0)*VLOOKUP('Données projet'!$B$9,Paramètres!$A$1:$I$89,5,0)</f>
        <v>2.6294983296412697</v>
      </c>
      <c r="P10" s="14">
        <f t="shared" si="33"/>
        <v>1.0828087552070351</v>
      </c>
      <c r="Q10" s="22">
        <f t="shared" si="2"/>
        <v>6.4656015061107972</v>
      </c>
      <c r="R10" s="62">
        <f t="shared" si="0"/>
        <v>306.16671261722189</v>
      </c>
      <c r="S10" s="62">
        <f ca="1">AVERAGE(OFFSET($R$3,0,0,'Données projet'!$E$9+1,1))-AVERAGE(OFFSET($H$3,0,0,'Données projet'!$E$9+1,1))</f>
        <v>358.51982625142648</v>
      </c>
      <c r="T10" s="62">
        <f t="shared" si="34"/>
        <v>432.55677461330856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6.2</v>
      </c>
      <c r="AI10" s="14">
        <f>IF('Données projet'!$A$62&gt;35,AI9+AH10-AQ9,IF(A10&lt;'Données projet'!$A$62,$AF$205^A10,IF(A10='Données projet'!$A$62,'Données projet'!$B$62,AI9+AH10-AQ9)))</f>
        <v>4.1048082592426089</v>
      </c>
      <c r="AJ10" s="14">
        <f>AI10*VLOOKUP('Données projet'!$B$10,Paramètres!$A$1:$I$89,3,0)*VLOOKUP('Données projet'!$B$10,Paramètres!$A$1:$I$89,5,0)</f>
        <v>1.921050265325541</v>
      </c>
      <c r="AK10" s="14">
        <f t="shared" si="35"/>
        <v>0.8205156811708475</v>
      </c>
      <c r="AL10" s="22">
        <f t="shared" si="4"/>
        <v>4.7748940234812096</v>
      </c>
      <c r="AM10" s="62">
        <f t="shared" si="5"/>
        <v>304.47600513459236</v>
      </c>
      <c r="AN10" s="62">
        <f ca="1">AVERAGE(OFFSET($AM$3,0,0,'Données projet'!$E$10+1,1))-AVERAGE(OFFSET($H$3,0,0,'Données projet'!$E$10+1,1))</f>
        <v>264.16738206207805</v>
      </c>
      <c r="AO10" s="62">
        <f t="shared" si="36"/>
        <v>233.21990345647771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projet'!$B$11,Paramètres!$A$1:$I$89,3,0)*VLOOKUP('Données projet'!$B$11,Paramètres!$A$1:$I$89,5,0)</f>
        <v>4.8251798027425101</v>
      </c>
      <c r="BF10" s="14">
        <f t="shared" si="37"/>
        <v>1.8514184811173284</v>
      </c>
      <c r="BG10" s="22">
        <f t="shared" si="7"/>
        <v>11.628408677722552</v>
      </c>
      <c r="BH10" s="62">
        <f t="shared" si="8"/>
        <v>311.32951978883369</v>
      </c>
      <c r="BI10" s="62">
        <f ca="1">AVERAGE(OFFSET($BH$3,0,0,'Données projet'!$E$11+1,1))-AVERAGE(OFFSET($H$3,0,0,'Données projet'!$E$11+1,1))</f>
        <v>316.00112010575197</v>
      </c>
      <c r="BJ10" s="62">
        <f t="shared" si="38"/>
        <v>345.16550310248078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79.099999999999994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2.6366666666666663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0.92476800000000015</v>
      </c>
      <c r="D11" s="12">
        <f t="shared" si="32"/>
        <v>0.43006949706534298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1.3595913128445198</v>
      </c>
      <c r="H11" s="70">
        <f t="shared" si="1"/>
        <v>292.39300864072209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7.0434782608695654</v>
      </c>
      <c r="N11" s="14">
        <f>IF('Données projet'!$A$36&gt;35,N10+M11-V10,IF(A11&lt;'Données projet'!$A$36,$K$205^A11,IF(A11='Données projet'!$A$36,'Données projet'!$B$36,N10+M11-V10)))</f>
        <v>5.8684980090540737</v>
      </c>
      <c r="O11" s="14">
        <f>N11*VLOOKUP('Données projet'!$B$9,Paramètres!$A$1:$I$89,3,0)*VLOOKUP('Données projet'!$B$9,Paramètres!$A$1:$I$89,5,0)</f>
        <v>3.2804903870612274</v>
      </c>
      <c r="P11" s="14">
        <f t="shared" si="33"/>
        <v>1.3165445559725206</v>
      </c>
      <c r="Q11" s="22">
        <f t="shared" si="2"/>
        <v>8.0065025257837785</v>
      </c>
      <c r="R11" s="62">
        <f t="shared" si="0"/>
        <v>309.08872474800603</v>
      </c>
      <c r="S11" s="62">
        <f ca="1">AVERAGE(OFFSET($R$3,0,0,'Données projet'!$E$9+1,1))-AVERAGE(OFFSET($H$3,0,0,'Données projet'!$E$9+1,1))</f>
        <v>358.51982625142648</v>
      </c>
      <c r="T11" s="62">
        <f t="shared" si="34"/>
        <v>432.55677461330856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6.2</v>
      </c>
      <c r="AI11" s="14">
        <f>IF('Données projet'!$A$62&gt;35,AI10+AH11-AQ10,IF(A11&lt;'Données projet'!$A$62,$AF$205^A11,IF(A11='Données projet'!$A$62,'Données projet'!$B$62,AI10+AH11-AQ10)))</f>
        <v>5.0223403860157454</v>
      </c>
      <c r="AJ11" s="14">
        <f>AI11*VLOOKUP('Données projet'!$B$10,Paramètres!$A$1:$I$89,3,0)*VLOOKUP('Données projet'!$B$10,Paramètres!$A$1:$I$89,5,0)</f>
        <v>2.3504553006553688</v>
      </c>
      <c r="AK11" s="14">
        <f t="shared" si="35"/>
        <v>0.98062276017484962</v>
      </c>
      <c r="AL11" s="22">
        <f t="shared" si="4"/>
        <v>5.8016276226126307</v>
      </c>
      <c r="AM11" s="62">
        <f t="shared" si="5"/>
        <v>306.88384984483486</v>
      </c>
      <c r="AN11" s="62">
        <f ca="1">AVERAGE(OFFSET($AM$3,0,0,'Données projet'!$E$10+1,1))-AVERAGE(OFFSET($H$3,0,0,'Données projet'!$E$10+1,1))</f>
        <v>264.16738206207805</v>
      </c>
      <c r="AO11" s="62">
        <f t="shared" si="36"/>
        <v>233.21990345647771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projet'!$B$11,Paramètres!$A$1:$I$89,3,0)*VLOOKUP('Données projet'!$B$11,Paramètres!$A$1:$I$89,5,0)</f>
        <v>6.1594537400075735</v>
      </c>
      <c r="BF11" s="14">
        <f t="shared" si="37"/>
        <v>2.2971616158822084</v>
      </c>
      <c r="BG11" s="22">
        <f t="shared" si="7"/>
        <v>14.728605078174702</v>
      </c>
      <c r="BH11" s="62">
        <f t="shared" si="8"/>
        <v>315.81082730039697</v>
      </c>
      <c r="BI11" s="62">
        <f ca="1">AVERAGE(OFFSET($BH$3,0,0,'Données projet'!$E$11+1,1))-AVERAGE(OFFSET($H$3,0,0,'Données projet'!$E$11+1,1))</f>
        <v>316.00112010575197</v>
      </c>
      <c r="BJ11" s="62">
        <f t="shared" si="38"/>
        <v>345.16550310248078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79.099999999999994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3.0133333333333332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1.0403640000000001</v>
      </c>
      <c r="D12" s="12">
        <f t="shared" si="32"/>
        <v>0.47724018994580608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1.5229291169280723</v>
      </c>
      <c r="H12" s="70">
        <f t="shared" si="1"/>
        <v>292.67649396415555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7.0434782608695654</v>
      </c>
      <c r="N12" s="14">
        <f>IF('Données projet'!$A$36&gt;35,N11+M12-V11,IF(A12&lt;'Données projet'!$A$36,$K$205^A12,IF(A12='Données projet'!$A$36,'Données projet'!$B$36,N11+M12-V11)))</f>
        <v>7.3213780317617614</v>
      </c>
      <c r="O12" s="14">
        <f>N12*VLOOKUP('Données projet'!$B$9,Paramètres!$A$1:$I$89,3,0)*VLOOKUP('Données projet'!$B$9,Paramètres!$A$1:$I$89,5,0)</f>
        <v>4.0926503197548252</v>
      </c>
      <c r="P12" s="14">
        <f t="shared" si="33"/>
        <v>1.6007347184124618</v>
      </c>
      <c r="Q12" s="22">
        <f t="shared" si="2"/>
        <v>9.9159789414746928</v>
      </c>
      <c r="R12" s="62">
        <f t="shared" si="0"/>
        <v>312.379312274808</v>
      </c>
      <c r="S12" s="62">
        <f ca="1">AVERAGE(OFFSET($R$3,0,0,'Données projet'!$E$9+1,1))-AVERAGE(OFFSET($H$3,0,0,'Données projet'!$E$9+1,1))</f>
        <v>358.51982625142648</v>
      </c>
      <c r="T12" s="62">
        <f t="shared" si="34"/>
        <v>432.55677461330856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6.2</v>
      </c>
      <c r="AI12" s="14">
        <f>IF('Données projet'!$A$62&gt;35,AI11+AH12-AQ11,IF(A12&lt;'Données projet'!$A$62,$AF$205^A12,IF(A12='Données projet'!$A$62,'Données projet'!$B$62,AI11+AH12-AQ11)))</f>
        <v>6.1449649679030136</v>
      </c>
      <c r="AJ12" s="14">
        <f>AI12*VLOOKUP('Données projet'!$B$10,Paramètres!$A$1:$I$89,3,0)*VLOOKUP('Données projet'!$B$10,Paramètres!$A$1:$I$89,5,0)</f>
        <v>2.87584360497861</v>
      </c>
      <c r="AK12" s="14">
        <f t="shared" si="35"/>
        <v>1.1719715050427075</v>
      </c>
      <c r="AL12" s="22">
        <f t="shared" si="4"/>
        <v>7.0499446499537939</v>
      </c>
      <c r="AM12" s="62">
        <f t="shared" si="5"/>
        <v>309.51327798328708</v>
      </c>
      <c r="AN12" s="62">
        <f ca="1">AVERAGE(OFFSET($AM$3,0,0,'Données projet'!$E$10+1,1))-AVERAGE(OFFSET($H$3,0,0,'Données projet'!$E$10+1,1))</f>
        <v>264.16738206207805</v>
      </c>
      <c r="AO12" s="62">
        <f t="shared" si="36"/>
        <v>233.21990345647771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projet'!$B$11,Paramètres!$A$1:$I$89,3,0)*VLOOKUP('Données projet'!$B$11,Paramètres!$A$1:$I$89,5,0)</f>
        <v>7.8626853145927917</v>
      </c>
      <c r="BF12" s="14">
        <f t="shared" si="37"/>
        <v>2.8502208135558442</v>
      </c>
      <c r="BG12" s="22">
        <f t="shared" si="7"/>
        <v>18.658311506525539</v>
      </c>
      <c r="BH12" s="62">
        <f t="shared" si="8"/>
        <v>321.12164483985885</v>
      </c>
      <c r="BI12" s="62">
        <f ca="1">AVERAGE(OFFSET($BH$3,0,0,'Données projet'!$E$11+1,1))-AVERAGE(OFFSET($H$3,0,0,'Données projet'!$E$11+1,1))</f>
        <v>316.00112010575197</v>
      </c>
      <c r="BJ12" s="62">
        <f t="shared" si="38"/>
        <v>345.16550310248078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79.099999999999994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3.3899999999999997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1.1559600000000001</v>
      </c>
      <c r="D13" s="12">
        <f t="shared" si="32"/>
        <v>0.52380341863278845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1.6856573253648337</v>
      </c>
      <c r="H13" s="70">
        <f t="shared" si="1"/>
        <v>292.95892128745209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7.0434782608695654</v>
      </c>
      <c r="N13" s="14">
        <f>IF('Données projet'!$A$36&gt;35,N12+M13-V12,IF(A13&lt;'Données projet'!$A$36,$K$205^A13,IF(A13='Données projet'!$A$36,'Données projet'!$B$36,N12+M13-V12)))</f>
        <v>9.1339515155776247</v>
      </c>
      <c r="O13" s="14">
        <f>N13*VLOOKUP('Données projet'!$B$9,Paramètres!$A$1:$I$89,3,0)*VLOOKUP('Données projet'!$B$9,Paramètres!$A$1:$I$89,5,0)</f>
        <v>5.1058788972078926</v>
      </c>
      <c r="P13" s="14">
        <f t="shared" si="33"/>
        <v>1.9462703537885475</v>
      </c>
      <c r="Q13" s="22">
        <f t="shared" si="2"/>
        <v>12.282493278818798</v>
      </c>
      <c r="R13" s="62">
        <f t="shared" si="0"/>
        <v>316.12693772326321</v>
      </c>
      <c r="S13" s="62">
        <f ca="1">AVERAGE(OFFSET($R$3,0,0,'Données projet'!$E$9+1,1))-AVERAGE(OFFSET($H$3,0,0,'Données projet'!$E$9+1,1))</f>
        <v>358.51982625142648</v>
      </c>
      <c r="T13" s="62">
        <f t="shared" si="34"/>
        <v>432.55677461330856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6.2</v>
      </c>
      <c r="AI13" s="14">
        <f>IF('Données projet'!$A$62&gt;35,AI12+AH13-AQ12,IF(A13&lt;'Données projet'!$A$62,$AF$205^A13,IF(A13='Données projet'!$A$62,'Données projet'!$B$62,AI12+AH13-AQ12)))</f>
        <v>7.5185255387898957</v>
      </c>
      <c r="AJ13" s="14">
        <f>AI13*VLOOKUP('Données projet'!$B$10,Paramètres!$A$1:$I$89,3,0)*VLOOKUP('Données projet'!$B$10,Paramètres!$A$1:$I$89,5,0)</f>
        <v>3.5186699521536715</v>
      </c>
      <c r="AK13" s="14">
        <f t="shared" si="35"/>
        <v>1.4006580964806126</v>
      </c>
      <c r="AL13" s="22">
        <f t="shared" si="4"/>
        <v>8.5678296847047104</v>
      </c>
      <c r="AM13" s="62">
        <f t="shared" si="5"/>
        <v>312.41227412914913</v>
      </c>
      <c r="AN13" s="62">
        <f ca="1">AVERAGE(OFFSET($AM$3,0,0,'Données projet'!$E$10+1,1))-AVERAGE(OFFSET($H$3,0,0,'Données projet'!$E$10+1,1))</f>
        <v>264.16738206207805</v>
      </c>
      <c r="AO13" s="62">
        <f t="shared" si="36"/>
        <v>233.21990345647771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projet'!$B$11,Paramètres!$A$1:$I$89,3,0)*VLOOKUP('Données projet'!$B$11,Paramètres!$A$1:$I$89,5,0)</f>
        <v>10.036899856031249</v>
      </c>
      <c r="BF13" s="14">
        <f t="shared" si="37"/>
        <v>3.5364332356333024</v>
      </c>
      <c r="BG13" s="22">
        <f t="shared" si="7"/>
        <v>23.640221801315761</v>
      </c>
      <c r="BH13" s="62">
        <f t="shared" si="8"/>
        <v>327.4846662457602</v>
      </c>
      <c r="BI13" s="62">
        <f ca="1">AVERAGE(OFFSET($BH$3,0,0,'Données projet'!$E$11+1,1))-AVERAGE(OFFSET($H$3,0,0,'Données projet'!$E$11+1,1))</f>
        <v>316.00112010575197</v>
      </c>
      <c r="BJ13" s="62">
        <f t="shared" si="38"/>
        <v>345.16550310248078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79.099999999999994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3.7666666666666662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1.2715560000000001</v>
      </c>
      <c r="D14" s="12">
        <f t="shared" si="32"/>
        <v>0.56982684474398859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1.847843837181687</v>
      </c>
      <c r="H14" s="70">
        <f t="shared" si="1"/>
        <v>293.24040845459575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7.0434782608695654</v>
      </c>
      <c r="N14" s="14">
        <f>IF('Données projet'!$A$36&gt;35,N13+M14-V13,IF(A14&lt;'Données projet'!$A$36,$K$205^A14,IF(A14='Données projet'!$A$36,'Données projet'!$B$36,N13+M14-V13)))</f>
        <v>11.395268749542637</v>
      </c>
      <c r="O14" s="14">
        <f>N14*VLOOKUP('Données projet'!$B$9,Paramètres!$A$1:$I$89,3,0)*VLOOKUP('Données projet'!$B$9,Paramètres!$A$1:$I$89,5,0)</f>
        <v>6.3699552309943348</v>
      </c>
      <c r="P14" s="14">
        <f t="shared" si="33"/>
        <v>2.3663935357089882</v>
      </c>
      <c r="Q14" s="22">
        <f t="shared" si="2"/>
        <v>15.215807435341619</v>
      </c>
      <c r="R14" s="62">
        <f t="shared" si="0"/>
        <v>320.44136299089718</v>
      </c>
      <c r="S14" s="62">
        <f ca="1">AVERAGE(OFFSET($R$3,0,0,'Données projet'!$E$9+1,1))-AVERAGE(OFFSET($H$3,0,0,'Données projet'!$E$9+1,1))</f>
        <v>358.51982625142648</v>
      </c>
      <c r="T14" s="62">
        <f t="shared" si="34"/>
        <v>432.55677461330856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</v>
      </c>
      <c r="AI14" s="14">
        <f>IF('Données projet'!$A$62&gt;35,AI13+AH14-AQ13,IF(A14&lt;'Données projet'!$A$62,$AF$205^A14,IF(A14='Données projet'!$A$62,'Données projet'!$B$62,AI13+AH14-AQ13)))</f>
        <v>9.1991128627583212</v>
      </c>
      <c r="AJ14" s="14">
        <f>AI14*VLOOKUP('Données projet'!$B$10,Paramètres!$A$1:$I$89,3,0)*VLOOKUP('Données projet'!$B$10,Paramètres!$A$1:$I$89,5,0)</f>
        <v>4.3051848197708944</v>
      </c>
      <c r="AK14" s="14">
        <f t="shared" si="35"/>
        <v>1.673968261852238</v>
      </c>
      <c r="AL14" s="22">
        <f t="shared" si="4"/>
        <v>10.413691617160287</v>
      </c>
      <c r="AM14" s="62">
        <f t="shared" si="5"/>
        <v>315.63924717271584</v>
      </c>
      <c r="AN14" s="62">
        <f ca="1">AVERAGE(OFFSET($AM$3,0,0,'Données projet'!$E$10+1,1))-AVERAGE(OFFSET($H$3,0,0,'Données projet'!$E$10+1,1))</f>
        <v>264.16738206207805</v>
      </c>
      <c r="AO14" s="62">
        <f t="shared" si="36"/>
        <v>233.21990345647771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projet'!$B$11,Paramètres!$A$1:$I$89,3,0)*VLOOKUP('Données projet'!$B$11,Paramètres!$A$1:$I$89,5,0)</f>
        <v>12.812335059757812</v>
      </c>
      <c r="BF14" s="14">
        <f t="shared" si="37"/>
        <v>4.3878565375042955</v>
      </c>
      <c r="BG14" s="22">
        <f t="shared" si="7"/>
        <v>29.957000365231504</v>
      </c>
      <c r="BH14" s="62">
        <f t="shared" si="8"/>
        <v>335.18255592078708</v>
      </c>
      <c r="BI14" s="62">
        <f ca="1">AVERAGE(OFFSET($BH$3,0,0,'Données projet'!$E$11+1,1))-AVERAGE(OFFSET($H$3,0,0,'Données projet'!$E$11+1,1))</f>
        <v>316.00112010575197</v>
      </c>
      <c r="BJ14" s="62">
        <f t="shared" si="38"/>
        <v>345.16550310248078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79.099999999999994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4.1433333333333335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1.3871520000000002</v>
      </c>
      <c r="D15" s="12">
        <f t="shared" si="32"/>
        <v>0.61536512217610362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2.0095434980433891</v>
      </c>
      <c r="H15" s="70">
        <f t="shared" si="1"/>
        <v>293.5210506544567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7.0434782608695654</v>
      </c>
      <c r="N15" s="14">
        <f>IF('Données projet'!$A$36&gt;35,N14+M15-V14,IF(A15&lt;'Données projet'!$A$36,$K$205^A15,IF(A15='Données projet'!$A$36,'Données projet'!$B$36,N14+M15-V14)))</f>
        <v>14.216426445098254</v>
      </c>
      <c r="O15" s="14">
        <f>N15*VLOOKUP('Données projet'!$B$9,Paramètres!$A$1:$I$89,3,0)*VLOOKUP('Données projet'!$B$9,Paramètres!$A$1:$I$89,5,0)</f>
        <v>7.9469823828099235</v>
      </c>
      <c r="P15" s="14">
        <f t="shared" si="33"/>
        <v>2.8772047803866805</v>
      </c>
      <c r="Q15" s="22">
        <f t="shared" si="2"/>
        <v>18.852125975900751</v>
      </c>
      <c r="R15" s="62">
        <f t="shared" si="0"/>
        <v>325.4587926425674</v>
      </c>
      <c r="S15" s="62">
        <f ca="1">AVERAGE(OFFSET($R$3,0,0,'Données projet'!$E$9+1,1))-AVERAGE(OFFSET($H$3,0,0,'Données projet'!$E$9+1,1))</f>
        <v>358.51982625142648</v>
      </c>
      <c r="T15" s="62">
        <f t="shared" si="34"/>
        <v>432.55677461330856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</v>
      </c>
      <c r="AI15" s="14">
        <f>IF('Données projet'!$A$62&gt;35,AI14+AH15-AQ14,IF(A15&lt;'Données projet'!$A$62,$AF$205^A15,IF(A15='Données projet'!$A$62,'Données projet'!$B$62,AI14+AH15-AQ14)))</f>
        <v>11.255355458350383</v>
      </c>
      <c r="AJ15" s="14">
        <f>AI15*VLOOKUP('Données projet'!$B$10,Paramètres!$A$1:$I$89,3,0)*VLOOKUP('Données projet'!$B$10,Paramètres!$A$1:$I$89,5,0)</f>
        <v>5.2675063545079794</v>
      </c>
      <c r="AK15" s="14">
        <f t="shared" si="35"/>
        <v>2.0006093912065501</v>
      </c>
      <c r="AL15" s="22">
        <f t="shared" si="4"/>
        <v>12.658634923786138</v>
      </c>
      <c r="AM15" s="62">
        <f t="shared" si="5"/>
        <v>319.26530159045274</v>
      </c>
      <c r="AN15" s="62">
        <f ca="1">AVERAGE(OFFSET($AM$3,0,0,'Données projet'!$E$10+1,1))-AVERAGE(OFFSET($H$3,0,0,'Données projet'!$E$10+1,1))</f>
        <v>264.16738206207805</v>
      </c>
      <c r="AO15" s="62">
        <f t="shared" si="36"/>
        <v>233.21990345647771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projet'!$B$11,Paramètres!$A$1:$I$89,3,0)*VLOOKUP('Données projet'!$B$11,Paramètres!$A$1:$I$89,5,0)</f>
        <v>16.35524235950772</v>
      </c>
      <c r="BF15" s="14">
        <f t="shared" si="37"/>
        <v>5.4442664998513175</v>
      </c>
      <c r="BG15" s="22">
        <f t="shared" si="7"/>
        <v>37.967477930050322</v>
      </c>
      <c r="BH15" s="62">
        <f t="shared" si="8"/>
        <v>344.57414459671696</v>
      </c>
      <c r="BI15" s="62">
        <f ca="1">AVERAGE(OFFSET($BH$3,0,0,'Données projet'!$E$11+1,1))-AVERAGE(OFFSET($H$3,0,0,'Données projet'!$E$11+1,1))</f>
        <v>316.00112010575197</v>
      </c>
      <c r="BJ15" s="62">
        <f t="shared" si="38"/>
        <v>345.16550310248078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79.099999999999994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4.5199999999999996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1.5027480000000002</v>
      </c>
      <c r="D16" s="12">
        <f t="shared" si="32"/>
        <v>0.66046327641041636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2.1708014914153657</v>
      </c>
      <c r="H16" s="70">
        <f t="shared" si="1"/>
        <v>293.80092630641479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7.0434782608695654</v>
      </c>
      <c r="N16" s="14">
        <f>IF('Données projet'!$A$36&gt;35,N15+M16-V15,IF(A16&lt;'Données projet'!$A$36,$K$205^A16,IF(A16='Données projet'!$A$36,'Données projet'!$B$36,N15+M16-V15)))</f>
        <v>17.736025828877512</v>
      </c>
      <c r="O16" s="14">
        <f>N16*VLOOKUP('Données projet'!$B$9,Paramètres!$A$1:$I$89,3,0)*VLOOKUP('Données projet'!$B$9,Paramètres!$A$1:$I$89,5,0)</f>
        <v>9.914438438342529</v>
      </c>
      <c r="P16" s="14">
        <f t="shared" si="33"/>
        <v>3.4982800719153118</v>
      </c>
      <c r="Q16" s="22">
        <f t="shared" si="2"/>
        <v>23.360484738699075</v>
      </c>
      <c r="R16" s="62">
        <f t="shared" si="0"/>
        <v>331.34826251647684</v>
      </c>
      <c r="S16" s="62">
        <f ca="1">AVERAGE(OFFSET($R$3,0,0,'Données projet'!$E$9+1,1))-AVERAGE(OFFSET($H$3,0,0,'Données projet'!$E$9+1,1))</f>
        <v>358.51982625142648</v>
      </c>
      <c r="T16" s="62">
        <f t="shared" si="34"/>
        <v>432.55677461330856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</v>
      </c>
      <c r="AI16" s="14">
        <f>IF('Données projet'!$A$62&gt;35,AI15+AH16-AQ15,IF(A16&lt;'Données projet'!$A$62,$AF$205^A16,IF(A16='Données projet'!$A$62,'Données projet'!$B$62,AI15+AH16-AQ15)))</f>
        <v>13.771222114980368</v>
      </c>
      <c r="AJ16" s="14">
        <f>AI16*VLOOKUP('Données projet'!$B$10,Paramètres!$A$1:$I$89,3,0)*VLOOKUP('Données projet'!$B$10,Paramètres!$A$1:$I$89,5,0)</f>
        <v>6.4449319498108126</v>
      </c>
      <c r="AK16" s="14">
        <f t="shared" si="35"/>
        <v>2.390987946064858</v>
      </c>
      <c r="AL16" s="22">
        <f t="shared" si="4"/>
        <v>15.38922715198346</v>
      </c>
      <c r="AM16" s="62">
        <f t="shared" si="5"/>
        <v>323.3770049297612</v>
      </c>
      <c r="AN16" s="62">
        <f ca="1">AVERAGE(OFFSET($AM$3,0,0,'Données projet'!$E$10+1,1))-AVERAGE(OFFSET($H$3,0,0,'Données projet'!$E$10+1,1))</f>
        <v>264.16738206207805</v>
      </c>
      <c r="AO16" s="62">
        <f t="shared" si="36"/>
        <v>233.21990345647771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projet'!$B$11,Paramètres!$A$1:$I$89,3,0)*VLOOKUP('Données projet'!$B$11,Paramètres!$A$1:$I$89,5,0)</f>
        <v>20.8778455598157</v>
      </c>
      <c r="BF16" s="14">
        <f t="shared" si="37"/>
        <v>6.7550152262411558</v>
      </c>
      <c r="BG16" s="22">
        <f t="shared" si="7"/>
        <v>48.127232535715684</v>
      </c>
      <c r="BH16" s="62">
        <f t="shared" si="8"/>
        <v>356.11501031349343</v>
      </c>
      <c r="BI16" s="62">
        <f ca="1">AVERAGE(OFFSET($BH$3,0,0,'Données projet'!$E$11+1,1))-AVERAGE(OFFSET($H$3,0,0,'Données projet'!$E$11+1,1))</f>
        <v>316.00112010575197</v>
      </c>
      <c r="BJ16" s="62">
        <f t="shared" si="38"/>
        <v>345.16550310248078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79.099999999999994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4.8966666666666656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1.6183440000000002</v>
      </c>
      <c r="D17" s="12">
        <f t="shared" si="32"/>
        <v>0.70515901243307966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2.3316556545819682</v>
      </c>
      <c r="H17" s="70">
        <f t="shared" si="1"/>
        <v>294.08010107998757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7.0434782608695654</v>
      </c>
      <c r="N17" s="14">
        <f>IF('Données projet'!$A$36&gt;35,N16+M17-V16,IF(A17&lt;'Données projet'!$A$36,$K$205^A17,IF(A17='Données projet'!$A$36,'Données projet'!$B$36,N16+M17-V16)))</f>
        <v>22.126982010382157</v>
      </c>
      <c r="O17" s="14">
        <f>N17*VLOOKUP('Données projet'!$B$9,Paramètres!$A$1:$I$89,3,0)*VLOOKUP('Données projet'!$B$9,Paramètres!$A$1:$I$89,5,0)</f>
        <v>12.368982943803626</v>
      </c>
      <c r="P17" s="14">
        <f t="shared" si="33"/>
        <v>4.253421079022079</v>
      </c>
      <c r="Q17" s="22">
        <f t="shared" si="2"/>
        <v>28.950687006421436</v>
      </c>
      <c r="R17" s="62">
        <f t="shared" si="0"/>
        <v>338.31957589531032</v>
      </c>
      <c r="S17" s="62">
        <f ca="1">AVERAGE(OFFSET($R$3,0,0,'Données projet'!$E$9+1,1))-AVERAGE(OFFSET($H$3,0,0,'Données projet'!$E$9+1,1))</f>
        <v>358.51982625142648</v>
      </c>
      <c r="T17" s="62">
        <f t="shared" si="34"/>
        <v>432.55677461330856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</v>
      </c>
      <c r="AI17" s="14">
        <f>IF('Données projet'!$A$62&gt;35,AI16+AH17-AQ16,IF(A17&lt;'Données projet'!$A$62,$AF$205^A17,IF(A17='Données projet'!$A$62,'Données projet'!$B$62,AI16+AH17-AQ16)))</f>
        <v>16.849450845146343</v>
      </c>
      <c r="AJ17" s="14">
        <f>AI17*VLOOKUP('Données projet'!$B$10,Paramètres!$A$1:$I$89,3,0)*VLOOKUP('Données projet'!$B$10,Paramètres!$A$1:$I$89,5,0)</f>
        <v>7.8855429955284881</v>
      </c>
      <c r="AK17" s="14">
        <f t="shared" si="35"/>
        <v>2.8575409989351699</v>
      </c>
      <c r="AL17" s="22">
        <f t="shared" si="4"/>
        <v>18.710871290357538</v>
      </c>
      <c r="AM17" s="62">
        <f t="shared" si="5"/>
        <v>328.07976017924642</v>
      </c>
      <c r="AN17" s="62">
        <f ca="1">AVERAGE(OFFSET($AM$3,0,0,'Données projet'!$E$10+1,1))-AVERAGE(OFFSET($H$3,0,0,'Données projet'!$E$10+1,1))</f>
        <v>264.16738206207805</v>
      </c>
      <c r="AO17" s="62">
        <f t="shared" si="36"/>
        <v>233.21990345647771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projet'!$B$11,Paramètres!$A$1:$I$89,3,0)*VLOOKUP('Données projet'!$B$11,Paramètres!$A$1:$I$89,5,0)</f>
        <v>26.651053260982433</v>
      </c>
      <c r="BF17" s="14">
        <f t="shared" si="37"/>
        <v>8.3813367159737684</v>
      </c>
      <c r="BG17" s="22">
        <f t="shared" si="7"/>
        <v>61.014745876532061</v>
      </c>
      <c r="BH17" s="62">
        <f t="shared" si="8"/>
        <v>370.38363476542094</v>
      </c>
      <c r="BI17" s="62">
        <f ca="1">AVERAGE(OFFSET($BH$3,0,0,'Données projet'!$E$11+1,1))-AVERAGE(OFFSET($H$3,0,0,'Données projet'!$E$11+1,1))</f>
        <v>316.00112010575197</v>
      </c>
      <c r="BJ17" s="62">
        <f t="shared" si="38"/>
        <v>345.16550310248078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79.099999999999994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5.2733333333333325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1.7339400000000003</v>
      </c>
      <c r="D18" s="12">
        <f t="shared" si="32"/>
        <v>0.74948434358331895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2.4921381132099274</v>
      </c>
      <c r="H18" s="70">
        <f t="shared" si="1"/>
        <v>294.3586307317409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7.0434782608695654</v>
      </c>
      <c r="N18" s="14">
        <f>IF('Données projet'!$A$36&gt;35,N17+M18-V17,IF(A18&lt;'Données projet'!$A$36,$K$205^A18,IF(A18='Données projet'!$A$36,'Données projet'!$B$36,N17+M18-V17)))</f>
        <v>27.605019163346693</v>
      </c>
      <c r="O18" s="14">
        <f>N18*VLOOKUP('Données projet'!$B$9,Paramètres!$A$1:$I$89,3,0)*VLOOKUP('Données projet'!$B$9,Paramètres!$A$1:$I$89,5,0)</f>
        <v>15.431205712310803</v>
      </c>
      <c r="P18" s="14">
        <f t="shared" si="33"/>
        <v>5.1715673140956353</v>
      </c>
      <c r="Q18" s="22">
        <f t="shared" si="2"/>
        <v>35.883163020991212</v>
      </c>
      <c r="R18" s="62">
        <f t="shared" si="0"/>
        <v>346.63316302099122</v>
      </c>
      <c r="S18" s="62">
        <f ca="1">AVERAGE(OFFSET($R$3,0,0,'Données projet'!$E$9+1,1))-AVERAGE(OFFSET($H$3,0,0,'Données projet'!$E$9+1,1))</f>
        <v>358.51982625142648</v>
      </c>
      <c r="T18" s="62">
        <f t="shared" si="34"/>
        <v>432.55677461330856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6.2</v>
      </c>
      <c r="AI18" s="14">
        <f>IF('Données projet'!$A$62&gt;35,AI17+AH18-AQ17,IF(A18&lt;'Données projet'!$A$62,$AF$205^A18,IF(A18='Données projet'!$A$62,'Données projet'!$B$62,AI17+AH18-AQ17)))</f>
        <v>20.615744297245143</v>
      </c>
      <c r="AJ18" s="14">
        <f>AI18*VLOOKUP('Données projet'!$B$10,Paramètres!$A$1:$I$89,3,0)*VLOOKUP('Données projet'!$B$10,Paramètres!$A$1:$I$89,5,0)</f>
        <v>9.6481683311107282</v>
      </c>
      <c r="AK18" s="14">
        <f t="shared" si="35"/>
        <v>3.4151324660730467</v>
      </c>
      <c r="AL18" s="22">
        <f t="shared" si="4"/>
        <v>22.751915555095071</v>
      </c>
      <c r="AM18" s="62">
        <f t="shared" si="5"/>
        <v>333.50191555509508</v>
      </c>
      <c r="AN18" s="62">
        <f ca="1">AVERAGE(OFFSET($AM$3,0,0,'Données projet'!$E$10+1,1))-AVERAGE(OFFSET($H$3,0,0,'Données projet'!$E$10+1,1))</f>
        <v>264.16738206207805</v>
      </c>
      <c r="AO18" s="62">
        <f t="shared" si="36"/>
        <v>233.21990345647771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projet'!$B$11,Paramètres!$A$1:$I$89,3,0)*VLOOKUP('Données projet'!$B$11,Paramètres!$A$1:$I$89,5,0)</f>
        <v>34.02068656388662</v>
      </c>
      <c r="BF18" s="14">
        <f t="shared" si="37"/>
        <v>10.399207521197393</v>
      </c>
      <c r="BG18" s="22">
        <f t="shared" si="7"/>
        <v>77.364648864854644</v>
      </c>
      <c r="BH18" s="62">
        <f t="shared" si="8"/>
        <v>388.11464886485464</v>
      </c>
      <c r="BI18" s="62">
        <f ca="1">AVERAGE(OFFSET($BH$3,0,0,'Données projet'!$E$11+1,1))-AVERAGE(OFFSET($H$3,0,0,'Données projet'!$E$11+1,1))</f>
        <v>316.00112010575197</v>
      </c>
      <c r="BJ18" s="62">
        <f t="shared" si="38"/>
        <v>345.16550310248078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79.099999999999994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5.65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1.8495360000000003</v>
      </c>
      <c r="D19" s="12">
        <f t="shared" si="32"/>
        <v>0.79346677326947701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2.6522764672107741</v>
      </c>
      <c r="H19" s="70">
        <f t="shared" si="1"/>
        <v>294.63656316344429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7.0434782608695654</v>
      </c>
      <c r="N19" s="14">
        <f>IF('Données projet'!$A$36&gt;35,N18+M19-V18,IF(A19&lt;'Données projet'!$A$36,$K$205^A19,IF(A19='Données projet'!$A$36,'Données projet'!$B$36,N18+M19-V18)))</f>
        <v>34.439268882271627</v>
      </c>
      <c r="O19" s="14">
        <f>N19*VLOOKUP('Données projet'!$B$9,Paramètres!$A$1:$I$89,3,0)*VLOOKUP('Données projet'!$B$9,Paramètres!$A$1:$I$89,5,0)</f>
        <v>19.251551305189839</v>
      </c>
      <c r="P19" s="14">
        <f t="shared" si="33"/>
        <v>6.2879051914538895</v>
      </c>
      <c r="Q19" s="22">
        <f t="shared" si="2"/>
        <v>44.481220064987831</v>
      </c>
      <c r="R19" s="62">
        <f t="shared" si="0"/>
        <v>356.61233117609896</v>
      </c>
      <c r="S19" s="62">
        <f ca="1">AVERAGE(OFFSET($R$3,0,0,'Données projet'!$E$9+1,1))-AVERAGE(OFFSET($H$3,0,0,'Données projet'!$E$9+1,1))</f>
        <v>358.51982625142648</v>
      </c>
      <c r="T19" s="62">
        <f t="shared" si="34"/>
        <v>432.55677461330856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</v>
      </c>
      <c r="AI19" s="14">
        <f>IF('Données projet'!$A$62&gt;35,AI18+AH19-AQ18,IF(A19&lt;'Données projet'!$A$62,$AF$205^A19,IF(A19='Données projet'!$A$62,'Données projet'!$B$62,AI18+AH19-AQ18)))</f>
        <v>25.223902953004785</v>
      </c>
      <c r="AJ19" s="14">
        <f>AI19*VLOOKUP('Données projet'!$B$10,Paramètres!$A$1:$I$89,3,0)*VLOOKUP('Données projet'!$B$10,Paramètres!$A$1:$I$89,5,0)</f>
        <v>11.804786582006239</v>
      </c>
      <c r="AK19" s="14">
        <f t="shared" si="35"/>
        <v>4.0815266570706452</v>
      </c>
      <c r="AL19" s="22">
        <f t="shared" si="4"/>
        <v>27.668662224725569</v>
      </c>
      <c r="AM19" s="62">
        <f t="shared" si="5"/>
        <v>339.79977333583668</v>
      </c>
      <c r="AN19" s="62">
        <f ca="1">AVERAGE(OFFSET($AM$3,0,0,'Données projet'!$E$10+1,1))-AVERAGE(OFFSET($H$3,0,0,'Données projet'!$E$10+1,1))</f>
        <v>264.16738206207805</v>
      </c>
      <c r="AO19" s="62">
        <f t="shared" si="36"/>
        <v>233.21990345647771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projet'!$B$11,Paramètres!$A$1:$I$89,3,0)*VLOOKUP('Données projet'!$B$11,Paramètres!$A$1:$I$89,5,0)</f>
        <v>43.428194110912635</v>
      </c>
      <c r="BF19" s="14">
        <f t="shared" si="37"/>
        <v>12.902896129065022</v>
      </c>
      <c r="BG19" s="22">
        <f t="shared" si="7"/>
        <v>98.109982167961064</v>
      </c>
      <c r="BH19" s="62">
        <f t="shared" si="8"/>
        <v>410.24109327907217</v>
      </c>
      <c r="BI19" s="62">
        <f ca="1">AVERAGE(OFFSET($BH$3,0,0,'Données projet'!$E$11+1,1))-AVERAGE(OFFSET($H$3,0,0,'Données projet'!$E$11+1,1))</f>
        <v>316.00112010575197</v>
      </c>
      <c r="BJ19" s="62">
        <f t="shared" si="38"/>
        <v>345.16550310248078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79.099999999999994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6.0266666666666664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1.9651320000000003</v>
      </c>
      <c r="D20" s="12">
        <f t="shared" si="32"/>
        <v>0.83713017266164735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2.8120946715130923</v>
      </c>
      <c r="H20" s="70">
        <f t="shared" si="1"/>
        <v>294.913939950719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7.0434782608695654</v>
      </c>
      <c r="N20" s="14">
        <f>IF('Données projet'!$A$36&gt;35,N19+M20-V19,IF(A20&lt;'Données projet'!$A$36,$K$205^A20,IF(A20='Données projet'!$A$36,'Données projet'!$B$36,N19+M20-V19)))</f>
        <v>42.965492402926131</v>
      </c>
      <c r="O20" s="14">
        <f>N20*VLOOKUP('Données projet'!$B$9,Paramètres!$A$1:$I$89,3,0)*VLOOKUP('Données projet'!$B$9,Paramètres!$A$1:$I$89,5,0)</f>
        <v>24.017710253235709</v>
      </c>
      <c r="P20" s="14">
        <f t="shared" si="33"/>
        <v>7.6452164876494173</v>
      </c>
      <c r="Q20" s="22">
        <f t="shared" si="2"/>
        <v>55.146264073708259</v>
      </c>
      <c r="R20" s="62">
        <f t="shared" si="0"/>
        <v>368.65848629593046</v>
      </c>
      <c r="S20" s="62">
        <f ca="1">AVERAGE(OFFSET($R$3,0,0,'Données projet'!$E$9+1,1))-AVERAGE(OFFSET($H$3,0,0,'Données projet'!$E$9+1,1))</f>
        <v>358.51982625142648</v>
      </c>
      <c r="T20" s="62">
        <f t="shared" si="34"/>
        <v>432.55677461330856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</v>
      </c>
      <c r="AI20" s="14">
        <f>IF('Données projet'!$A$62&gt;35,AI19+AH20-AQ19,IF(A20&lt;'Données projet'!$A$62,$AF$205^A20,IF(A20='Données projet'!$A$62,'Données projet'!$B$62,AI19+AH20-AQ19)))</f>
        <v>30.862105728951249</v>
      </c>
      <c r="AJ20" s="14">
        <f>AI20*VLOOKUP('Données projet'!$B$10,Paramètres!$A$1:$I$89,3,0)*VLOOKUP('Données projet'!$B$10,Paramètres!$A$1:$I$89,5,0)</f>
        <v>14.443465481149184</v>
      </c>
      <c r="AK20" s="14">
        <f t="shared" si="35"/>
        <v>4.877954228092876</v>
      </c>
      <c r="AL20" s="22">
        <f t="shared" si="4"/>
        <v>33.651472660263259</v>
      </c>
      <c r="AM20" s="62">
        <f t="shared" si="5"/>
        <v>347.16369488248546</v>
      </c>
      <c r="AN20" s="62">
        <f ca="1">AVERAGE(OFFSET($AM$3,0,0,'Données projet'!$E$10+1,1))-AVERAGE(OFFSET($H$3,0,0,'Données projet'!$E$10+1,1))</f>
        <v>264.16738206207805</v>
      </c>
      <c r="AO20" s="62">
        <f t="shared" si="36"/>
        <v>233.21990345647771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projet'!$B$11,Paramètres!$A$1:$I$89,3,0)*VLOOKUP('Données projet'!$B$11,Paramètres!$A$1:$I$89,5,0)</f>
        <v>55.437095315328747</v>
      </c>
      <c r="BF20" s="14">
        <f t="shared" si="37"/>
        <v>16.009366884744278</v>
      </c>
      <c r="BG20" s="22">
        <f t="shared" si="7"/>
        <v>124.4359216651272</v>
      </c>
      <c r="BH20" s="62">
        <f t="shared" si="8"/>
        <v>437.94814388734937</v>
      </c>
      <c r="BI20" s="62">
        <f ca="1">AVERAGE(OFFSET($BH$3,0,0,'Données projet'!$E$11+1,1))-AVERAGE(OFFSET($H$3,0,0,'Données projet'!$E$11+1,1))</f>
        <v>316.00112010575197</v>
      </c>
      <c r="BJ20" s="62">
        <f t="shared" si="38"/>
        <v>345.16550310248078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79.099999999999994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6.4033333333333324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2.0807280000000001</v>
      </c>
      <c r="D21" s="12">
        <f t="shared" si="32"/>
        <v>0.880495445909936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2.9716137036148838</v>
      </c>
      <c r="H21" s="70">
        <f t="shared" si="1"/>
        <v>295.19079750162643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7.0434782608695654</v>
      </c>
      <c r="N21" s="14">
        <f>IF('Données projet'!$A$36&gt;35,N20+M21-V20,IF(A21&lt;'Données projet'!$A$36,$K$205^A21,IF(A21='Données projet'!$A$36,'Données projet'!$B$36,N20+M21-V20)))</f>
        <v>53.602576283963728</v>
      </c>
      <c r="O21" s="14">
        <f>N21*VLOOKUP('Données projet'!$B$9,Paramètres!$A$1:$I$89,3,0)*VLOOKUP('Données projet'!$B$9,Paramètres!$A$1:$I$89,5,0)</f>
        <v>29.963840142735723</v>
      </c>
      <c r="P21" s="14">
        <f t="shared" si="33"/>
        <v>9.2955178812916941</v>
      </c>
      <c r="Q21" s="22">
        <f t="shared" si="2"/>
        <v>68.376715225181087</v>
      </c>
      <c r="R21" s="62">
        <f t="shared" si="0"/>
        <v>383.27004855851442</v>
      </c>
      <c r="S21" s="62">
        <f ca="1">AVERAGE(OFFSET($R$3,0,0,'Données projet'!$E$9+1,1))-AVERAGE(OFFSET($H$3,0,0,'Données projet'!$E$9+1,1))</f>
        <v>358.51982625142648</v>
      </c>
      <c r="T21" s="62">
        <f t="shared" si="34"/>
        <v>432.55677461330856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6.2</v>
      </c>
      <c r="AI21" s="14">
        <f>IF('Données projet'!$A$62&gt;35,AI20+AH21-AQ20,IF(A21&lt;'Données projet'!$A$62,$AF$205^A21,IF(A21='Données projet'!$A$62,'Données projet'!$B$62,AI20+AH21-AQ20)))</f>
        <v>37.760594456755285</v>
      </c>
      <c r="AJ21" s="14">
        <f>AI21*VLOOKUP('Données projet'!$B$10,Paramètres!$A$1:$I$89,3,0)*VLOOKUP('Données projet'!$B$10,Paramètres!$A$1:$I$89,5,0)</f>
        <v>17.671958205761474</v>
      </c>
      <c r="AK21" s="14">
        <f t="shared" si="35"/>
        <v>5.8297885694679463</v>
      </c>
      <c r="AL21" s="22">
        <f t="shared" si="4"/>
        <v>40.932208966857907</v>
      </c>
      <c r="AM21" s="62">
        <f t="shared" si="5"/>
        <v>355.82554230019122</v>
      </c>
      <c r="AN21" s="62">
        <f ca="1">AVERAGE(OFFSET($AM$3,0,0,'Données projet'!$E$10+1,1))-AVERAGE(OFFSET($H$3,0,0,'Données projet'!$E$10+1,1))</f>
        <v>264.16738206207805</v>
      </c>
      <c r="AO21" s="62">
        <f t="shared" si="36"/>
        <v>233.21990345647771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projet'!$B$11,Paramètres!$A$1:$I$89,3,0)*VLOOKUP('Données projet'!$B$11,Paramètres!$A$1:$I$89,5,0)</f>
        <v>70.766735755852963</v>
      </c>
      <c r="BF21" s="14">
        <f t="shared" si="37"/>
        <v>19.863744192515547</v>
      </c>
      <c r="BG21" s="22">
        <f t="shared" si="7"/>
        <v>157.84808591007513</v>
      </c>
      <c r="BH21" s="62">
        <f t="shared" si="8"/>
        <v>472.74141924340847</v>
      </c>
      <c r="BI21" s="62">
        <f ca="1">AVERAGE(OFFSET($BH$3,0,0,'Données projet'!$E$11+1,1))-AVERAGE(OFFSET($H$3,0,0,'Données projet'!$E$11+1,1))</f>
        <v>316.00112010575197</v>
      </c>
      <c r="BJ21" s="62">
        <f t="shared" si="38"/>
        <v>345.16550310248078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79.099999999999994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6.7799999999999994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2.1963240000000002</v>
      </c>
      <c r="D22" s="12">
        <f t="shared" si="32"/>
        <v>0.92358104329839674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3.1308520785380409</v>
      </c>
      <c r="H22" s="70">
        <f t="shared" si="1"/>
        <v>295.46716795041135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7.0434782608695654</v>
      </c>
      <c r="N22" s="14">
        <f>IF('Données projet'!$A$36&gt;35,N21+M22-V21,IF(A22&lt;'Données projet'!$A$36,$K$205^A22,IF(A22='Données projet'!$A$36,'Données projet'!$B$36,N21+M22-V21)))</f>
        <v>66.87311196932707</v>
      </c>
      <c r="O22" s="14">
        <f>N22*VLOOKUP('Données projet'!$B$9,Paramètres!$A$1:$I$89,3,0)*VLOOKUP('Données projet'!$B$9,Paramètres!$A$1:$I$89,5,0)</f>
        <v>37.382069590853831</v>
      </c>
      <c r="P22" s="14">
        <f t="shared" si="33"/>
        <v>11.302054404999595</v>
      </c>
      <c r="Q22" s="22">
        <f t="shared" si="2"/>
        <v>84.791515959444709</v>
      </c>
      <c r="R22" s="62">
        <f t="shared" si="0"/>
        <v>401.06596040388916</v>
      </c>
      <c r="S22" s="62">
        <f ca="1">AVERAGE(OFFSET($R$3,0,0,'Données projet'!$E$9+1,1))-AVERAGE(OFFSET($H$3,0,0,'Données projet'!$E$9+1,1))</f>
        <v>358.51982625142648</v>
      </c>
      <c r="T22" s="62">
        <f t="shared" si="34"/>
        <v>432.55677461330856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6.2</v>
      </c>
      <c r="AI22" s="14">
        <f>IF('Données projet'!$A$62&gt;35,AI21+AH22-AQ21,IF(A22&lt;'Données projet'!$A$62,$AF$205^A22,IF(A22='Données projet'!$A$62,'Données projet'!$B$62,AI21+AH22-AQ21)))</f>
        <v>46.201076046148032</v>
      </c>
      <c r="AJ22" s="14">
        <f>AI22*VLOOKUP('Données projet'!$B$10,Paramètres!$A$1:$I$89,3,0)*VLOOKUP('Données projet'!$B$10,Paramètres!$A$1:$I$89,5,0)</f>
        <v>21.62210358959728</v>
      </c>
      <c r="AK22" s="14">
        <f t="shared" si="35"/>
        <v>6.967354176668187</v>
      </c>
      <c r="AL22" s="22">
        <f t="shared" si="4"/>
        <v>49.793305609579022</v>
      </c>
      <c r="AM22" s="62">
        <f t="shared" si="5"/>
        <v>366.06775005402346</v>
      </c>
      <c r="AN22" s="62">
        <f ca="1">AVERAGE(OFFSET($AM$3,0,0,'Données projet'!$E$10+1,1))-AVERAGE(OFFSET($H$3,0,0,'Données projet'!$E$10+1,1))</f>
        <v>264.16738206207805</v>
      </c>
      <c r="AO22" s="62">
        <f t="shared" si="36"/>
        <v>233.21990345647771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projet'!$B$11,Paramètres!$A$1:$I$89,3,0)*VLOOKUP('Données projet'!$B$11,Paramètres!$A$1:$I$89,5,0)</f>
        <v>90.335376719385764</v>
      </c>
      <c r="BF22" s="14">
        <f t="shared" si="37"/>
        <v>24.646092265003244</v>
      </c>
      <c r="BG22" s="22">
        <f t="shared" si="7"/>
        <v>200.25939181447754</v>
      </c>
      <c r="BH22" s="62">
        <f t="shared" si="8"/>
        <v>516.53383625892195</v>
      </c>
      <c r="BI22" s="62">
        <f ca="1">AVERAGE(OFFSET($BH$3,0,0,'Données projet'!$E$11+1,1))-AVERAGE(OFFSET($H$3,0,0,'Données projet'!$E$11+1,1))</f>
        <v>316.00112010575197</v>
      </c>
      <c r="BJ22" s="62">
        <f t="shared" si="38"/>
        <v>345.16550310248078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79.099999999999994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7.1566666666666663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2.3119200000000002</v>
      </c>
      <c r="D23" s="12">
        <f t="shared" si="32"/>
        <v>0.96640336328463672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3.2898262522786186</v>
      </c>
      <c r="H23" s="70">
        <f t="shared" si="1"/>
        <v>295.74307985772072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7.0434782608695654</v>
      </c>
      <c r="N23" s="14">
        <f>IF('Données projet'!$A$36&gt;35,N22+M23-V22,IF(A23&lt;'Données projet'!$A$36,$K$205^A23,IF(A23='Données projet'!$A$36,'Données projet'!$B$36,N22+M23-V22)))</f>
        <v>83.429070288922773</v>
      </c>
      <c r="O23" s="14">
        <f>N23*VLOOKUP('Données projet'!$B$9,Paramètres!$A$1:$I$89,3,0)*VLOOKUP('Données projet'!$B$9,Paramètres!$A$1:$I$89,5,0)</f>
        <v>46.636850291507827</v>
      </c>
      <c r="P23" s="14">
        <f t="shared" si="33"/>
        <v>13.741723205186346</v>
      </c>
      <c r="Q23" s="22">
        <f t="shared" si="2"/>
        <v>105.15934884007568</v>
      </c>
      <c r="R23" s="62">
        <f t="shared" si="0"/>
        <v>422.81490439563117</v>
      </c>
      <c r="S23" s="62">
        <f ca="1">AVERAGE(OFFSET($R$3,0,0,'Données projet'!$E$9+1,1))-AVERAGE(OFFSET($H$3,0,0,'Données projet'!$E$9+1,1))</f>
        <v>358.51982625142648</v>
      </c>
      <c r="T23" s="62">
        <f t="shared" si="34"/>
        <v>432.55677461330856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6.2</v>
      </c>
      <c r="AI23" s="14">
        <f>IF('Données projet'!$A$62&gt;35,AI22+AH23-AQ22,IF(A23&lt;'Données projet'!$A$62,$AF$205^A23,IF(A23='Données projet'!$A$62,'Données projet'!$B$62,AI22+AH23-AQ22)))</f>
        <v>56.528226277435891</v>
      </c>
      <c r="AJ23" s="14">
        <f>AI23*VLOOKUP('Données projet'!$B$10,Paramètres!$A$1:$I$89,3,0)*VLOOKUP('Données projet'!$B$10,Paramètres!$A$1:$I$89,5,0)</f>
        <v>26.455209897839996</v>
      </c>
      <c r="AK23" s="14">
        <f t="shared" si="35"/>
        <v>8.3268927585766548</v>
      </c>
      <c r="AL23" s="22">
        <f t="shared" si="4"/>
        <v>60.578828793259014</v>
      </c>
      <c r="AM23" s="62">
        <f t="shared" si="5"/>
        <v>378.2343843488145</v>
      </c>
      <c r="AN23" s="62">
        <f ca="1">AVERAGE(OFFSET($AM$3,0,0,'Données projet'!$E$10+1,1))-AVERAGE(OFFSET($H$3,0,0,'Données projet'!$E$10+1,1))</f>
        <v>264.16738206207805</v>
      </c>
      <c r="AO23" s="62">
        <f t="shared" si="36"/>
        <v>233.21990345647771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projet'!$B$11,Paramètres!$A$1:$I$89,3,0)*VLOOKUP('Données projet'!$B$11,Paramètres!$A$1:$I$89,5,0)</f>
        <v>115.3152</v>
      </c>
      <c r="BF23" s="14">
        <f t="shared" si="37"/>
        <v>30.579827148797317</v>
      </c>
      <c r="BG23" s="22">
        <f t="shared" si="7"/>
        <v>254.10050561748861</v>
      </c>
      <c r="BH23" s="62">
        <f t="shared" si="8"/>
        <v>571.75606117304415</v>
      </c>
      <c r="BI23" s="62">
        <f ca="1">AVERAGE(OFFSET($BH$3,0,0,'Données projet'!$E$11+1,1))-AVERAGE(OFFSET($H$3,0,0,'Données projet'!$E$11+1,1))</f>
        <v>316.00112010575197</v>
      </c>
      <c r="BJ23" s="62">
        <f t="shared" si="38"/>
        <v>345.16550310248078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41.213255629963363</v>
      </c>
      <c r="BS23" s="24">
        <f t="shared" si="9"/>
        <v>41.213255629963363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79.099999999999994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7.5333333333333323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2.4275160000000002</v>
      </c>
      <c r="D24" s="12">
        <f t="shared" si="32"/>
        <v>1.0089770718464441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3.4485509422739766</v>
      </c>
      <c r="H24" s="70">
        <f t="shared" si="1"/>
        <v>296.01855876679917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7.0434782608695654</v>
      </c>
      <c r="N24" s="14">
        <f>IF('Données projet'!$A$36&gt;35,N23+M24-V23,IF(A24&lt;'Données projet'!$A$36,$K$205^A24,IF(A24='Données projet'!$A$36,'Données projet'!$B$36,N23+M24-V23)))</f>
        <v>104.08383226529931</v>
      </c>
      <c r="O24" s="14">
        <f>N24*VLOOKUP('Données projet'!$B$9,Paramètres!$A$1:$I$89,3,0)*VLOOKUP('Données projet'!$B$9,Paramètres!$A$1:$I$89,5,0)</f>
        <v>58.182862236302313</v>
      </c>
      <c r="P24" s="14">
        <f t="shared" si="33"/>
        <v>16.708020496204991</v>
      </c>
      <c r="Q24" s="22">
        <f t="shared" si="2"/>
        <v>130.43495409245023</v>
      </c>
      <c r="R24" s="62">
        <f t="shared" si="0"/>
        <v>449.47162075911683</v>
      </c>
      <c r="S24" s="62">
        <f ca="1">AVERAGE(OFFSET($R$3,0,0,'Données projet'!$E$9+1,1))-AVERAGE(OFFSET($H$3,0,0,'Données projet'!$E$9+1,1))</f>
        <v>358.51982625142648</v>
      </c>
      <c r="T24" s="62">
        <f t="shared" si="34"/>
        <v>432.55677461330856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6.2</v>
      </c>
      <c r="AI24" s="14">
        <f>IF('Données projet'!$A$62&gt;35,AI23+AH24-AQ23,IF(A24&lt;'Données projet'!$A$62,$AF$205^A24,IF(A24='Données projet'!$A$62,'Données projet'!$B$62,AI23+AH24-AQ23)))</f>
        <v>69.163764992859072</v>
      </c>
      <c r="AJ24" s="14">
        <f>AI24*VLOOKUP('Données projet'!$B$10,Paramètres!$A$1:$I$89,3,0)*VLOOKUP('Données projet'!$B$10,Paramètres!$A$1:$I$89,5,0)</f>
        <v>32.368642016658043</v>
      </c>
      <c r="AK24" s="14">
        <f t="shared" si="35"/>
        <v>9.9517178622880955</v>
      </c>
      <c r="AL24" s="22">
        <f t="shared" si="4"/>
        <v>73.707960122497852</v>
      </c>
      <c r="AM24" s="62">
        <f t="shared" si="5"/>
        <v>392.7446267891645</v>
      </c>
      <c r="AN24" s="62">
        <f ca="1">AVERAGE(OFFSET($AM$3,0,0,'Données projet'!$E$10+1,1))-AVERAGE(OFFSET($H$3,0,0,'Données projet'!$E$10+1,1))</f>
        <v>264.16738206207805</v>
      </c>
      <c r="AO24" s="62">
        <f t="shared" si="36"/>
        <v>233.21990345647771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94.199999999999989</v>
      </c>
      <c r="BE24" s="14">
        <f>BD24*VLOOKUP('Données projet'!$B$11,Paramètres!$A$1:$I$89,3,0)*VLOOKUP('Données projet'!$B$11,Paramètres!$A$1:$I$89,5,0)</f>
        <v>82.293120000000002</v>
      </c>
      <c r="BF24" s="14">
        <f t="shared" si="37"/>
        <v>22.696938367376966</v>
      </c>
      <c r="BG24" s="22">
        <f t="shared" si="7"/>
        <v>182.85768498984825</v>
      </c>
      <c r="BH24" s="62">
        <f t="shared" si="8"/>
        <v>501.89435165651491</v>
      </c>
      <c r="BI24" s="62">
        <f ca="1">AVERAGE(OFFSET($BH$3,0,0,'Données projet'!$E$11+1,1))-AVERAGE(OFFSET($H$3,0,0,'Données projet'!$E$11+1,1))</f>
        <v>316.00112010575197</v>
      </c>
      <c r="BJ24" s="62">
        <f t="shared" si="38"/>
        <v>345.16550310248078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29.142172530721755</v>
      </c>
      <c r="BS24" s="24">
        <f t="shared" si="9"/>
        <v>29.142172530721755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79.099999999999994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7.9099999999999984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2.5431120000000003</v>
      </c>
      <c r="D25" s="12">
        <f t="shared" si="32"/>
        <v>1.0513153592770237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3.6070393850990485</v>
      </c>
      <c r="H25" s="70">
        <f t="shared" si="1"/>
        <v>296.2936276507408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7.0434782608695654</v>
      </c>
      <c r="N25" s="14">
        <f>IF('Données projet'!$A$36&gt;35,N24+M25-V24,IF(A25&lt;'Données projet'!$A$36,$K$205^A25,IF(A25='Données projet'!$A$36,'Données projet'!$B$36,N24+M25-V24)))</f>
        <v>129.852149874303</v>
      </c>
      <c r="O25" s="14">
        <f>N25*VLOOKUP('Données projet'!$B$9,Paramètres!$A$1:$I$89,3,0)*VLOOKUP('Données projet'!$B$9,Paramètres!$A$1:$I$89,5,0)</f>
        <v>72.587351779735371</v>
      </c>
      <c r="P25" s="14">
        <f t="shared" si="33"/>
        <v>20.314624645928472</v>
      </c>
      <c r="Q25" s="22">
        <f t="shared" si="2"/>
        <v>161.80427560803119</v>
      </c>
      <c r="R25" s="62">
        <f t="shared" si="0"/>
        <v>482.22205338580898</v>
      </c>
      <c r="S25" s="62">
        <f ca="1">AVERAGE(OFFSET($R$3,0,0,'Données projet'!$E$9+1,1))-AVERAGE(OFFSET($H$3,0,0,'Données projet'!$E$9+1,1))</f>
        <v>358.51982625142648</v>
      </c>
      <c r="T25" s="62">
        <f t="shared" si="34"/>
        <v>432.55677461330856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6.2</v>
      </c>
      <c r="AI25" s="14">
        <f>IF('Données projet'!$A$62&gt;35,AI24+AH25-AQ24,IF(A25&lt;'Données projet'!$A$62,$AF$205^A25,IF(A25='Données projet'!$A$62,'Données projet'!$B$62,AI24+AH25-AQ24)))</f>
        <v>84.62367746176561</v>
      </c>
      <c r="AJ25" s="14">
        <f>AI25*VLOOKUP('Données projet'!$B$10,Paramètres!$A$1:$I$89,3,0)*VLOOKUP('Données projet'!$B$10,Paramètres!$A$1:$I$89,5,0)</f>
        <v>39.603881052106303</v>
      </c>
      <c r="AK25" s="14">
        <f t="shared" si="35"/>
        <v>11.893594799641999</v>
      </c>
      <c r="AL25" s="22">
        <f t="shared" si="4"/>
        <v>89.691437108461628</v>
      </c>
      <c r="AM25" s="62">
        <f t="shared" si="5"/>
        <v>410.10921488623939</v>
      </c>
      <c r="AN25" s="62">
        <f ca="1">AVERAGE(OFFSET($AM$3,0,0,'Données projet'!$E$10+1,1))-AVERAGE(OFFSET($H$3,0,0,'Données projet'!$E$10+1,1))</f>
        <v>264.16738206207805</v>
      </c>
      <c r="AO25" s="62">
        <f t="shared" si="36"/>
        <v>233.21990345647771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106.39999999999999</v>
      </c>
      <c r="BE25" s="14">
        <f>BD25*VLOOKUP('Données projet'!$B$11,Paramètres!$A$1:$I$89,3,0)*VLOOKUP('Données projet'!$B$11,Paramètres!$A$1:$I$89,5,0)</f>
        <v>92.951040000000006</v>
      </c>
      <c r="BF25" s="14">
        <f t="shared" si="37"/>
        <v>25.275602869272223</v>
      </c>
      <c r="BG25" s="22">
        <f t="shared" si="7"/>
        <v>205.9114029973158</v>
      </c>
      <c r="BH25" s="62">
        <f t="shared" si="8"/>
        <v>526.32918077509362</v>
      </c>
      <c r="BI25" s="62">
        <f ca="1">AVERAGE(OFFSET($BH$3,0,0,'Données projet'!$E$11+1,1))-AVERAGE(OFFSET($H$3,0,0,'Données projet'!$E$11+1,1))</f>
        <v>316.00112010575197</v>
      </c>
      <c r="BJ25" s="62">
        <f t="shared" si="38"/>
        <v>345.16550310248078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20.606627814981685</v>
      </c>
      <c r="BS25" s="24">
        <f t="shared" si="9"/>
        <v>20.606627814981685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79.099999999999994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8.2866666666666671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2.6587080000000003</v>
      </c>
      <c r="D26" s="12">
        <f t="shared" si="32"/>
        <v>1.0934301489703697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3.7653035459843012</v>
      </c>
      <c r="H26" s="70">
        <f t="shared" si="1"/>
        <v>296.56830727612339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K26" s="13">
        <f>VLOOKUP(A26,'Données projet'!$A$35:$I$55,2,0)</f>
        <v>162</v>
      </c>
      <c r="L26" s="13">
        <f>VLOOKUP(A26,'Données projet'!$A$35:$I$55,9,0)</f>
        <v>7.0434782608695654</v>
      </c>
      <c r="M26" s="13">
        <f t="array" ref="M26">INDEX(L:L,MIN(IF(ISNUMBER(L26:L222),ROW(L26:L222),"")))</f>
        <v>7.0434782608695654</v>
      </c>
      <c r="N26" s="14">
        <f>IF('Données projet'!$A$36&gt;35,N25+M26-V25,IF(A26&lt;'Données projet'!$A$36,$K$205^A26,IF(A26='Données projet'!$A$36,'Données projet'!$B$36,N25+M26-V25)))</f>
        <v>162</v>
      </c>
      <c r="O26" s="14">
        <f>N26*VLOOKUP('Données projet'!$B$9,Paramètres!$A$1:$I$89,3,0)*VLOOKUP('Données projet'!$B$9,Paramètres!$A$1:$I$89,5,0)</f>
        <v>90.557999999999993</v>
      </c>
      <c r="P26" s="14">
        <f t="shared" si="33"/>
        <v>24.699752708509138</v>
      </c>
      <c r="Q26" s="22">
        <f t="shared" si="2"/>
        <v>200.74058596732007</v>
      </c>
      <c r="R26" s="62">
        <f t="shared" si="0"/>
        <v>522.53947485620893</v>
      </c>
      <c r="S26" s="62">
        <f ca="1">AVERAGE(OFFSET($R$3,0,0,'Données projet'!$E$9+1,1))-AVERAGE(OFFSET($H$3,0,0,'Données projet'!$E$9+1,1))</f>
        <v>358.51982625142648</v>
      </c>
      <c r="T26" s="62">
        <f t="shared" si="34"/>
        <v>432.55677461330856</v>
      </c>
      <c r="U26" s="16">
        <f>IF(ISNA(VLOOKUP(A26,'Données projet'!$A$35:$I$55,3,0)),0,VLOOKUP(A26,'Données projet'!$A$35:$I$55,3,0))</f>
        <v>1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6.2</v>
      </c>
      <c r="AI26" s="14">
        <f>IF('Données projet'!$A$62&gt;35,AI25+AH26-AQ25,IF(A26&lt;'Données projet'!$A$62,$AF$205^A26,IF(A26='Données projet'!$A$62,'Données projet'!$B$62,AI25+AH26-AQ25)))</f>
        <v>103.53928517182807</v>
      </c>
      <c r="AJ26" s="14">
        <f>AI26*VLOOKUP('Données projet'!$B$10,Paramètres!$A$1:$I$89,3,0)*VLOOKUP('Données projet'!$B$10,Paramètres!$A$1:$I$89,5,0)</f>
        <v>48.456385460415532</v>
      </c>
      <c r="AK26" s="14">
        <f t="shared" si="35"/>
        <v>14.214389838574796</v>
      </c>
      <c r="AL26" s="22">
        <f t="shared" si="4"/>
        <v>109.15160031240815</v>
      </c>
      <c r="AM26" s="62">
        <f t="shared" si="5"/>
        <v>430.95048920129699</v>
      </c>
      <c r="AN26" s="62">
        <f ca="1">AVERAGE(OFFSET($AM$3,0,0,'Données projet'!$E$10+1,1))-AVERAGE(OFFSET($H$3,0,0,'Données projet'!$E$10+1,1))</f>
        <v>264.16738206207805</v>
      </c>
      <c r="AO26" s="62">
        <f t="shared" si="36"/>
        <v>233.21990345647771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118.6</v>
      </c>
      <c r="BE26" s="14">
        <f>BD26*VLOOKUP('Données projet'!$B$11,Paramètres!$A$1:$I$89,3,0)*VLOOKUP('Données projet'!$B$11,Paramètres!$A$1:$I$89,5,0)</f>
        <v>103.60896</v>
      </c>
      <c r="BF26" s="14">
        <f t="shared" si="37"/>
        <v>27.820000397643376</v>
      </c>
      <c r="BG26" s="22">
        <f t="shared" si="7"/>
        <v>228.90543935922889</v>
      </c>
      <c r="BH26" s="62">
        <f t="shared" si="8"/>
        <v>550.70432824811769</v>
      </c>
      <c r="BI26" s="62">
        <f ca="1">AVERAGE(OFFSET($BH$3,0,0,'Données projet'!$E$11+1,1))-AVERAGE(OFFSET($H$3,0,0,'Données projet'!$E$11+1,1))</f>
        <v>316.00112010575197</v>
      </c>
      <c r="BJ26" s="62">
        <f t="shared" si="38"/>
        <v>345.16550310248078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14.571086265360879</v>
      </c>
      <c r="BS26" s="24">
        <f t="shared" si="9"/>
        <v>14.571086265360879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79.099999999999994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8.6633333333333322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2.7743040000000003</v>
      </c>
      <c r="D27" s="12">
        <f t="shared" si="32"/>
        <v>1.1353322688715692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3.9233542908676102</v>
      </c>
      <c r="H27" s="70">
        <f t="shared" si="1"/>
        <v>296.84261650161795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</v>
      </c>
      <c r="N27" s="14">
        <f>IF('Données projet'!$A$36&gt;35,N26+M27-V26,IF(A27&lt;'Données projet'!$A$36,$K$205^A27,IF(A27='Données projet'!$A$36,'Données projet'!$B$36,N26+M27-V26)))</f>
        <v>190</v>
      </c>
      <c r="O27" s="14">
        <f>N27*VLOOKUP('Données projet'!$B$9,Paramètres!$A$1:$I$89,3,0)*VLOOKUP('Données projet'!$B$9,Paramètres!$A$1:$I$89,5,0)</f>
        <v>106.21000000000001</v>
      </c>
      <c r="P27" s="14">
        <f t="shared" si="33"/>
        <v>28.436217026228483</v>
      </c>
      <c r="Q27" s="22">
        <f t="shared" si="2"/>
        <v>234.50882798734798</v>
      </c>
      <c r="R27" s="62">
        <f t="shared" si="0"/>
        <v>557.68882798734796</v>
      </c>
      <c r="S27" s="62">
        <f ca="1">AVERAGE(OFFSET($R$3,0,0,'Données projet'!$E$9+1,1))-AVERAGE(OFFSET($H$3,0,0,'Données projet'!$E$9+1,1))</f>
        <v>358.51982625142648</v>
      </c>
      <c r="T27" s="62">
        <f t="shared" si="34"/>
        <v>432.55677461330856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6.2</v>
      </c>
      <c r="AI27" s="14">
        <f>IF('Données projet'!$A$62&gt;35,AI26+AH27-AQ26,IF(A27&lt;'Données projet'!$A$62,$AF$205^A27,IF(A27='Données projet'!$A$62,'Données projet'!$B$62,AI26+AH27-AQ26)))</f>
        <v>126.68302649381775</v>
      </c>
      <c r="AJ27" s="14">
        <f>AI27*VLOOKUP('Données projet'!$B$10,Paramètres!$A$1:$I$89,3,0)*VLOOKUP('Données projet'!$B$10,Paramètres!$A$1:$I$89,5,0)</f>
        <v>59.287656399106709</v>
      </c>
      <c r="AK27" s="14">
        <f t="shared" si="35"/>
        <v>16.988041200887402</v>
      </c>
      <c r="AL27" s="22">
        <f t="shared" si="4"/>
        <v>132.84683998665642</v>
      </c>
      <c r="AM27" s="62">
        <f t="shared" si="5"/>
        <v>456.02683998665634</v>
      </c>
      <c r="AN27" s="62">
        <f ca="1">AVERAGE(OFFSET($AM$3,0,0,'Données projet'!$E$10+1,1))-AVERAGE(OFFSET($H$3,0,0,'Données projet'!$E$10+1,1))</f>
        <v>264.16738206207805</v>
      </c>
      <c r="AO27" s="62">
        <f t="shared" si="36"/>
        <v>233.21990345647771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130.79999999999998</v>
      </c>
      <c r="BE27" s="14">
        <f>BD27*VLOOKUP('Données projet'!$B$11,Paramètres!$A$1:$I$89,3,0)*VLOOKUP('Données projet'!$B$11,Paramètres!$A$1:$I$89,5,0)</f>
        <v>114.26687999999999</v>
      </c>
      <c r="BF27" s="14">
        <f t="shared" si="37"/>
        <v>30.334057329879929</v>
      </c>
      <c r="BG27" s="22">
        <f t="shared" si="7"/>
        <v>251.84663251620748</v>
      </c>
      <c r="BH27" s="62">
        <f t="shared" si="8"/>
        <v>575.02663251620743</v>
      </c>
      <c r="BI27" s="62">
        <f ca="1">AVERAGE(OFFSET($BH$3,0,0,'Données projet'!$E$11+1,1))-AVERAGE(OFFSET($H$3,0,0,'Données projet'!$E$11+1,1))</f>
        <v>316.00112010575197</v>
      </c>
      <c r="BJ27" s="62">
        <f t="shared" si="38"/>
        <v>345.16550310248078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10.303313907490844</v>
      </c>
      <c r="BS27" s="24">
        <f t="shared" si="9"/>
        <v>10.303313907490844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79.099999999999994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9.0399999999999991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2.8899000000000004</v>
      </c>
      <c r="D28" s="12">
        <f t="shared" si="32"/>
        <v>1.1770315935468603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4.081201528962815</v>
      </c>
      <c r="H28" s="70">
        <f t="shared" si="1"/>
        <v>297.11657252542744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K28" s="13">
        <f>VLOOKUP(A28,'Données projet'!$A$35:$I$55,2,0)</f>
        <v>218</v>
      </c>
      <c r="L28" s="13">
        <f>VLOOKUP(A28,'Données projet'!$A$35:$I$55,9,0)</f>
        <v>28</v>
      </c>
      <c r="M28" s="13">
        <f t="array" ref="M28">INDEX(L:L,MIN(IF(ISNUMBER(L28:L224),ROW(L28:L224),"")))</f>
        <v>28</v>
      </c>
      <c r="N28" s="14">
        <f>IF('Données projet'!$A$36&gt;35,N27+M28-V27,IF(A28&lt;'Données projet'!$A$36,$K$205^A28,IF(A28='Données projet'!$A$36,'Données projet'!$B$36,N27+M28-V27)))</f>
        <v>218</v>
      </c>
      <c r="O28" s="14">
        <f>N28*VLOOKUP('Données projet'!$B$9,Paramètres!$A$1:$I$89,3,0)*VLOOKUP('Données projet'!$B$9,Paramètres!$A$1:$I$89,5,0)</f>
        <v>121.86199999999999</v>
      </c>
      <c r="P28" s="14">
        <f t="shared" si="33"/>
        <v>32.108890276712884</v>
      </c>
      <c r="Q28" s="22">
        <f t="shared" si="2"/>
        <v>268.16596723194158</v>
      </c>
      <c r="R28" s="62">
        <f t="shared" si="0"/>
        <v>592.72707834305265</v>
      </c>
      <c r="S28" s="62">
        <f ca="1">AVERAGE(OFFSET($R$3,0,0,'Données projet'!$E$9+1,1))-AVERAGE(OFFSET($H$3,0,0,'Données projet'!$E$9+1,1))</f>
        <v>358.51982625142648</v>
      </c>
      <c r="T28" s="62">
        <f t="shared" si="34"/>
        <v>432.55677461330856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8.8608499604421223</v>
      </c>
      <c r="AC28" s="24">
        <f t="shared" si="3"/>
        <v>8.8608499604421223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AF28" s="13">
        <f>VLOOKUP(A28,'Données projet'!$A$61:$I$81,2,0)</f>
        <v>155</v>
      </c>
      <c r="AG28" s="13">
        <f>VLOOKUP(A28,'Données projet'!$A$61:$I$81,9,0)</f>
        <v>6.2</v>
      </c>
      <c r="AH28" s="13">
        <f t="array" ref="AH28">INDEX(AG:AG,MIN(IF(ISNUMBER(AG28:AG224),ROW(AG28:AG224),"")))</f>
        <v>6.2</v>
      </c>
      <c r="AI28" s="14">
        <f>IF('Données projet'!$A$62&gt;35,AI27+AH28-AQ27,IF(A28&lt;'Données projet'!$A$62,$AF$205^A28,IF(A28='Données projet'!$A$62,'Données projet'!$B$62,AI27+AH28-AQ27)))</f>
        <v>155</v>
      </c>
      <c r="AJ28" s="14">
        <f>AI28*VLOOKUP('Données projet'!$B$10,Paramètres!$A$1:$I$89,3,0)*VLOOKUP('Données projet'!$B$10,Paramètres!$A$1:$I$89,5,0)</f>
        <v>72.539999999999992</v>
      </c>
      <c r="AK28" s="14">
        <f t="shared" si="35"/>
        <v>20.302914660456786</v>
      </c>
      <c r="AL28" s="22">
        <f t="shared" si="4"/>
        <v>161.70140970029556</v>
      </c>
      <c r="AM28" s="62">
        <f t="shared" si="5"/>
        <v>486.2625208114066</v>
      </c>
      <c r="AN28" s="62">
        <f ca="1">AVERAGE(OFFSET($AM$3,0,0,'Données projet'!$E$10+1,1))-AVERAGE(OFFSET($H$3,0,0,'Données projet'!$E$10+1,1))</f>
        <v>264.16738206207805</v>
      </c>
      <c r="AO28" s="62">
        <f t="shared" si="36"/>
        <v>233.21990345647771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27.55400519260407</v>
      </c>
      <c r="AX28" s="23">
        <f t="shared" si="6"/>
        <v>27.55400519260407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BA28" s="13">
        <f>VLOOKUP(A28,'Données projet'!$A$87:$I$107,2,0)</f>
        <v>143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142.99999999999997</v>
      </c>
      <c r="BE28" s="14">
        <f>BD28*VLOOKUP('Données projet'!$B$11,Paramètres!$A$1:$I$89,3,0)*VLOOKUP('Données projet'!$B$11,Paramètres!$A$1:$I$89,5,0)</f>
        <v>124.9248</v>
      </c>
      <c r="BF28" s="14">
        <f t="shared" si="37"/>
        <v>32.820925500842712</v>
      </c>
      <c r="BG28" s="22">
        <f t="shared" si="7"/>
        <v>274.74047191396772</v>
      </c>
      <c r="BH28" s="62">
        <f t="shared" si="8"/>
        <v>599.3015830250788</v>
      </c>
      <c r="BI28" s="62">
        <f ca="1">AVERAGE(OFFSET($BH$3,0,0,'Données projet'!$E$11+1,1))-AVERAGE(OFFSET($H$3,0,0,'Données projet'!$E$11+1,1))</f>
        <v>316.00112010575197</v>
      </c>
      <c r="BJ28" s="62">
        <f t="shared" si="38"/>
        <v>345.16550310248078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37.78335229885333</v>
      </c>
      <c r="BS28" s="24">
        <f t="shared" si="9"/>
        <v>37.78335229885333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79.099999999999994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9.4166666666666643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3.0054960000000004</v>
      </c>
      <c r="D29" s="12">
        <f t="shared" si="32"/>
        <v>1.2185371628826234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4.2388543318751939</v>
      </c>
      <c r="H29" s="70">
        <f t="shared" si="1"/>
        <v>297.39019109202053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24.8</v>
      </c>
      <c r="N29" s="14">
        <f>IF('Données projet'!$A$36&gt;35,N28+M29-V28,IF(A29&lt;'Données projet'!$A$36,$K$205^A29,IF(A29='Données projet'!$A$36,'Données projet'!$B$36,N28+M29-V28)))</f>
        <v>228.8</v>
      </c>
      <c r="O29" s="14">
        <f>N29*VLOOKUP('Données projet'!$B$9,Paramètres!$A$1:$I$89,3,0)*VLOOKUP('Données projet'!$B$9,Paramètres!$A$1:$I$89,5,0)</f>
        <v>127.89920000000001</v>
      </c>
      <c r="P29" s="14">
        <f t="shared" si="33"/>
        <v>33.510466808314675</v>
      </c>
      <c r="Q29" s="22">
        <f t="shared" si="2"/>
        <v>281.12183635781474</v>
      </c>
      <c r="R29" s="62">
        <f t="shared" si="0"/>
        <v>607.064058580037</v>
      </c>
      <c r="S29" s="62">
        <f ca="1">AVERAGE(OFFSET($R$3,0,0,'Données projet'!$E$9+1,1))-AVERAGE(OFFSET($H$3,0,0,'Données projet'!$E$9+1,1))</f>
        <v>358.51982625142648</v>
      </c>
      <c r="T29" s="62">
        <f t="shared" si="34"/>
        <v>432.55677461330856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6.2655670941051769</v>
      </c>
      <c r="AC29" s="24">
        <f t="shared" si="3"/>
        <v>6.2655670941051769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27.5</v>
      </c>
      <c r="AI29" s="14">
        <f>IF('Données projet'!$A$62&gt;35,AI28+AH29-AQ28,IF(A29&lt;'Données projet'!$A$62,$AF$205^A29,IF(A29='Données projet'!$A$62,'Données projet'!$B$62,AI28+AH29-AQ28)))</f>
        <v>130.5</v>
      </c>
      <c r="AJ29" s="14">
        <f>AI29*VLOOKUP('Données projet'!$B$10,Paramètres!$A$1:$I$89,3,0)*VLOOKUP('Données projet'!$B$10,Paramètres!$A$1:$I$89,5,0)</f>
        <v>61.073999999999998</v>
      </c>
      <c r="AK29" s="14">
        <f t="shared" si="35"/>
        <v>17.439528890067717</v>
      </c>
      <c r="AL29" s="22">
        <f t="shared" si="4"/>
        <v>136.74439615020125</v>
      </c>
      <c r="AM29" s="62">
        <f t="shared" si="5"/>
        <v>462.68661837242348</v>
      </c>
      <c r="AN29" s="62">
        <f ca="1">AVERAGE(OFFSET($AM$3,0,0,'Données projet'!$E$10+1,1))-AVERAGE(OFFSET($H$3,0,0,'Données projet'!$E$10+1,1))</f>
        <v>264.16738206207805</v>
      </c>
      <c r="AO29" s="62">
        <f t="shared" si="36"/>
        <v>233.21990345647771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19.483623920539682</v>
      </c>
      <c r="AX29" s="23">
        <f t="shared" si="6"/>
        <v>19.483623920539682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11.4</v>
      </c>
      <c r="BD29" s="13">
        <f>IF('Données projet'!$A$88&gt;35,BD28+BC29-BL28,IF(A29&lt;'Données projet'!$A$88,$BA$205^A29,IF(A29='Données projet'!$A$88,'Données projet'!$B$88,BD28+BC29-BL28)))</f>
        <v>117.39999999999998</v>
      </c>
      <c r="BE29" s="14">
        <f>BD29*VLOOKUP('Données projet'!$B$11,Paramètres!$A$1:$I$89,3,0)*VLOOKUP('Données projet'!$B$11,Paramètres!$A$1:$I$89,5,0)</f>
        <v>102.56064000000001</v>
      </c>
      <c r="BF29" s="14">
        <f t="shared" si="37"/>
        <v>27.571134131783779</v>
      </c>
      <c r="BG29" s="22">
        <f t="shared" si="7"/>
        <v>226.64617327952342</v>
      </c>
      <c r="BH29" s="62">
        <f t="shared" si="8"/>
        <v>552.58839550174559</v>
      </c>
      <c r="BI29" s="62">
        <f ca="1">AVERAGE(OFFSET($BH$3,0,0,'Données projet'!$E$11+1,1))-AVERAGE(OFFSET($H$3,0,0,'Données projet'!$E$11+1,1))</f>
        <v>316.00112010575197</v>
      </c>
      <c r="BJ29" s="62">
        <f t="shared" si="38"/>
        <v>345.16550310248078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26.71686462647952</v>
      </c>
      <c r="BS29" s="24">
        <f t="shared" si="9"/>
        <v>26.71686462647952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79.099999999999994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9.7933333333333312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3.1210920000000004</v>
      </c>
      <c r="D30" s="12">
        <f t="shared" si="32"/>
        <v>1.2598572820093492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4.3963210338760499</v>
      </c>
      <c r="H30" s="70">
        <f t="shared" si="1"/>
        <v>297.66348666616625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24.8</v>
      </c>
      <c r="N30" s="14">
        <f>IF('Données projet'!$A$36&gt;35,N29+M30-V29,IF(A30&lt;'Données projet'!$A$36,$K$205^A30,IF(A30='Données projet'!$A$36,'Données projet'!$B$36,N29+M30-V29)))</f>
        <v>253.60000000000002</v>
      </c>
      <c r="O30" s="14">
        <f>N30*VLOOKUP('Données projet'!$B$9,Paramètres!$A$1:$I$89,3,0)*VLOOKUP('Données projet'!$B$9,Paramètres!$A$1:$I$89,5,0)</f>
        <v>141.76240000000001</v>
      </c>
      <c r="P30" s="14">
        <f t="shared" si="33"/>
        <v>36.70045216027021</v>
      </c>
      <c r="Q30" s="22">
        <f t="shared" si="2"/>
        <v>310.82280084580395</v>
      </c>
      <c r="R30" s="62">
        <f t="shared" si="0"/>
        <v>638.14613417913733</v>
      </c>
      <c r="S30" s="62">
        <f ca="1">AVERAGE(OFFSET($R$3,0,0,'Données projet'!$E$9+1,1))-AVERAGE(OFFSET($H$3,0,0,'Données projet'!$E$9+1,1))</f>
        <v>358.51982625142648</v>
      </c>
      <c r="T30" s="62">
        <f t="shared" si="34"/>
        <v>432.55677461330856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4.430424980221062</v>
      </c>
      <c r="AC30" s="24">
        <f t="shared" si="3"/>
        <v>4.430424980221062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27.5</v>
      </c>
      <c r="AI30" s="14">
        <f>IF('Données projet'!$A$62&gt;35,AI29+AH30-AQ29,IF(A30&lt;'Données projet'!$A$62,$AF$205^A30,IF(A30='Données projet'!$A$62,'Données projet'!$B$62,AI29+AH30-AQ29)))</f>
        <v>158</v>
      </c>
      <c r="AJ30" s="14">
        <f>AI30*VLOOKUP('Données projet'!$B$10,Paramètres!$A$1:$I$89,3,0)*VLOOKUP('Données projet'!$B$10,Paramètres!$A$1:$I$89,5,0)</f>
        <v>73.944000000000003</v>
      </c>
      <c r="AK30" s="14">
        <f t="shared" si="35"/>
        <v>20.649745460165708</v>
      </c>
      <c r="AL30" s="22">
        <f t="shared" si="4"/>
        <v>164.75077334312192</v>
      </c>
      <c r="AM30" s="62">
        <f t="shared" si="5"/>
        <v>492.07410667645524</v>
      </c>
      <c r="AN30" s="62">
        <f ca="1">AVERAGE(OFFSET($AM$3,0,0,'Données projet'!$E$10+1,1))-AVERAGE(OFFSET($H$3,0,0,'Données projet'!$E$10+1,1))</f>
        <v>264.16738206207805</v>
      </c>
      <c r="AO30" s="62">
        <f t="shared" si="36"/>
        <v>233.21990345647771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13.777002596302037</v>
      </c>
      <c r="AX30" s="23">
        <f t="shared" si="6"/>
        <v>13.777002596302037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11.4</v>
      </c>
      <c r="BD30" s="13">
        <f>IF('Données projet'!$A$88&gt;35,BD29+BC30-BL29,IF(A30&lt;'Données projet'!$A$88,$BA$205^A30,IF(A30='Données projet'!$A$88,'Données projet'!$B$88,BD29+BC30-BL29)))</f>
        <v>128.79999999999998</v>
      </c>
      <c r="BE30" s="14">
        <f>BD30*VLOOKUP('Données projet'!$B$11,Paramètres!$A$1:$I$89,3,0)*VLOOKUP('Données projet'!$B$11,Paramètres!$A$1:$I$89,5,0)</f>
        <v>112.51968000000001</v>
      </c>
      <c r="BF30" s="14">
        <f t="shared" si="37"/>
        <v>29.923856072189899</v>
      </c>
      <c r="BG30" s="22">
        <f t="shared" si="7"/>
        <v>248.08915865906408</v>
      </c>
      <c r="BH30" s="62">
        <f t="shared" si="8"/>
        <v>575.41249199239746</v>
      </c>
      <c r="BI30" s="62">
        <f ca="1">AVERAGE(OFFSET($BH$3,0,0,'Données projet'!$E$11+1,1))-AVERAGE(OFFSET($H$3,0,0,'Données projet'!$E$11+1,1))</f>
        <v>316.00112010575197</v>
      </c>
      <c r="BJ30" s="62">
        <f t="shared" si="38"/>
        <v>345.16550310248078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18.891676149426669</v>
      </c>
      <c r="BS30" s="24">
        <f t="shared" si="9"/>
        <v>18.891676149426669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79.099999999999994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10.169999999999998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3.2366880000000005</v>
      </c>
      <c r="D31" s="12">
        <f t="shared" si="32"/>
        <v>1.3009996060058997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4.5536093169041667</v>
      </c>
      <c r="H31" s="70">
        <f t="shared" si="1"/>
        <v>297.93647258046025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24.8</v>
      </c>
      <c r="N31" s="14">
        <f>IF('Données projet'!$A$36&gt;35,N30+M31-V30,IF(A31&lt;'Données projet'!$A$36,$K$205^A31,IF(A31='Données projet'!$A$36,'Données projet'!$B$36,N30+M31-V30)))</f>
        <v>278.40000000000003</v>
      </c>
      <c r="O31" s="14">
        <f>N31*VLOOKUP('Données projet'!$B$9,Paramètres!$A$1:$I$89,3,0)*VLOOKUP('Données projet'!$B$9,Paramètres!$A$1:$I$89,5,0)</f>
        <v>155.62560000000002</v>
      </c>
      <c r="P31" s="14">
        <f t="shared" si="33"/>
        <v>39.854271109683154</v>
      </c>
      <c r="Q31" s="22">
        <f t="shared" si="2"/>
        <v>340.46077551603156</v>
      </c>
      <c r="R31" s="62">
        <f t="shared" si="0"/>
        <v>669.16521996047595</v>
      </c>
      <c r="S31" s="62">
        <f ca="1">AVERAGE(OFFSET($R$3,0,0,'Données projet'!$E$9+1,1))-AVERAGE(OFFSET($H$3,0,0,'Données projet'!$E$9+1,1))</f>
        <v>358.51982625142648</v>
      </c>
      <c r="T31" s="62">
        <f t="shared" si="34"/>
        <v>432.55677461330856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3.1327835470525889</v>
      </c>
      <c r="AC31" s="24">
        <f t="shared" si="3"/>
        <v>3.1327835470525889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27.5</v>
      </c>
      <c r="AI31" s="14">
        <f>IF('Données projet'!$A$62&gt;35,AI30+AH31-AQ30,IF(A31&lt;'Données projet'!$A$62,$AF$205^A31,IF(A31='Données projet'!$A$62,'Données projet'!$B$62,AI30+AH31-AQ30)))</f>
        <v>185.5</v>
      </c>
      <c r="AJ31" s="14">
        <f>AI31*VLOOKUP('Données projet'!$B$10,Paramètres!$A$1:$I$89,3,0)*VLOOKUP('Données projet'!$B$10,Paramètres!$A$1:$I$89,5,0)</f>
        <v>86.814000000000007</v>
      </c>
      <c r="AK31" s="14">
        <f t="shared" si="35"/>
        <v>23.79523416699303</v>
      </c>
      <c r="AL31" s="22">
        <f t="shared" si="4"/>
        <v>192.6444161741795</v>
      </c>
      <c r="AM31" s="62">
        <f t="shared" si="5"/>
        <v>521.34886061862392</v>
      </c>
      <c r="AN31" s="62">
        <f ca="1">AVERAGE(OFFSET($AM$3,0,0,'Données projet'!$E$10+1,1))-AVERAGE(OFFSET($H$3,0,0,'Données projet'!$E$10+1,1))</f>
        <v>264.16738206207805</v>
      </c>
      <c r="AO31" s="62">
        <f t="shared" si="36"/>
        <v>233.21990345647771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9.7418119602698425</v>
      </c>
      <c r="AX31" s="23">
        <f t="shared" si="6"/>
        <v>9.7418119602698425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11.4</v>
      </c>
      <c r="BD31" s="13">
        <f>IF('Données projet'!$A$88&gt;35,BD30+BC31-BL30,IF(A31&lt;'Données projet'!$A$88,$BA$205^A31,IF(A31='Données projet'!$A$88,'Données projet'!$B$88,BD30+BC31-BL30)))</f>
        <v>140.19999999999999</v>
      </c>
      <c r="BE31" s="14">
        <f>BD31*VLOOKUP('Données projet'!$B$11,Paramètres!$A$1:$I$89,3,0)*VLOOKUP('Données projet'!$B$11,Paramètres!$A$1:$I$89,5,0)</f>
        <v>122.47872000000001</v>
      </c>
      <c r="BF31" s="14">
        <f t="shared" si="37"/>
        <v>32.252430308904003</v>
      </c>
      <c r="BG31" s="22">
        <f t="shared" si="7"/>
        <v>269.49008678800777</v>
      </c>
      <c r="BH31" s="62">
        <f t="shared" si="8"/>
        <v>598.19453123245216</v>
      </c>
      <c r="BI31" s="62">
        <f ca="1">AVERAGE(OFFSET($BH$3,0,0,'Données projet'!$E$11+1,1))-AVERAGE(OFFSET($H$3,0,0,'Données projet'!$E$11+1,1))</f>
        <v>316.00112010575197</v>
      </c>
      <c r="BJ31" s="62">
        <f t="shared" si="38"/>
        <v>345.16550310248078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13.358432313239764</v>
      </c>
      <c r="BS31" s="24">
        <f t="shared" si="9"/>
        <v>13.358432313239764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79.099999999999994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10.546666666666665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3.3522840000000005</v>
      </c>
      <c r="D32" s="12">
        <f t="shared" si="32"/>
        <v>1.3419712121631246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4.7107262830829963</v>
      </c>
      <c r="H32" s="70">
        <f t="shared" si="1"/>
        <v>298.20916116118406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24.8</v>
      </c>
      <c r="N32" s="14">
        <f>IF('Données projet'!$A$36&gt;35,N31+M32-V31,IF(A32&lt;'Données projet'!$A$36,$K$205^A32,IF(A32='Données projet'!$A$36,'Données projet'!$B$36,N31+M32-V31)))</f>
        <v>303.20000000000005</v>
      </c>
      <c r="O32" s="14">
        <f>N32*VLOOKUP('Données projet'!$B$9,Paramètres!$A$1:$I$89,3,0)*VLOOKUP('Données projet'!$B$9,Paramètres!$A$1:$I$89,5,0)</f>
        <v>169.48880000000003</v>
      </c>
      <c r="P32" s="14">
        <f t="shared" si="33"/>
        <v>42.975511730949684</v>
      </c>
      <c r="Q32" s="22">
        <f t="shared" si="2"/>
        <v>370.04200959807071</v>
      </c>
      <c r="R32" s="62">
        <f t="shared" si="0"/>
        <v>700.12756515362616</v>
      </c>
      <c r="S32" s="62">
        <f ca="1">AVERAGE(OFFSET($R$3,0,0,'Données projet'!$E$9+1,1))-AVERAGE(OFFSET($H$3,0,0,'Données projet'!$E$9+1,1))</f>
        <v>358.51982625142648</v>
      </c>
      <c r="T32" s="62">
        <f t="shared" si="34"/>
        <v>432.55677461330856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2.2152124901105315</v>
      </c>
      <c r="AC32" s="24">
        <f t="shared" si="3"/>
        <v>2.2152124901105315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AF32" s="13">
        <f>VLOOKUP(A32,'Données projet'!$A$61:$I$81,2,0)</f>
        <v>213</v>
      </c>
      <c r="AG32" s="13">
        <f>VLOOKUP(A32,'Données projet'!$A$61:$I$81,9,0)</f>
        <v>27.5</v>
      </c>
      <c r="AH32" s="13">
        <f t="array" ref="AH32">INDEX(AG:AG,MIN(IF(ISNUMBER(AG32:AG228),ROW(AG32:AG228),"")))</f>
        <v>27.5</v>
      </c>
      <c r="AI32" s="14">
        <f>IF('Données projet'!$A$62&gt;35,AI31+AH32-AQ31,IF(A32&lt;'Données projet'!$A$62,$AF$205^A32,IF(A32='Données projet'!$A$62,'Données projet'!$B$62,AI31+AH32-AQ31)))</f>
        <v>213</v>
      </c>
      <c r="AJ32" s="14">
        <f>AI32*VLOOKUP('Données projet'!$B$10,Paramètres!$A$1:$I$89,3,0)*VLOOKUP('Données projet'!$B$10,Paramètres!$A$1:$I$89,5,0)</f>
        <v>99.683999999999997</v>
      </c>
      <c r="AK32" s="14">
        <f t="shared" si="35"/>
        <v>26.886701044194457</v>
      </c>
      <c r="AL32" s="22">
        <f t="shared" si="4"/>
        <v>220.44397098530533</v>
      </c>
      <c r="AM32" s="62">
        <f t="shared" si="5"/>
        <v>550.52952654086084</v>
      </c>
      <c r="AN32" s="62">
        <f ca="1">AVERAGE(OFFSET($AM$3,0,0,'Données projet'!$E$10+1,1))-AVERAGE(OFFSET($H$3,0,0,'Données projet'!$E$10+1,1))</f>
        <v>264.16738206207805</v>
      </c>
      <c r="AO32" s="62">
        <f t="shared" si="36"/>
        <v>233.21990345647771</v>
      </c>
      <c r="AP32" s="16">
        <f>IF(ISNA(VLOOKUP(A32,'Données projet'!$A$61:$I$81,3,0)),0,VLOOKUP(A32,'Données projet'!$A$61:$I$81,3,0))</f>
        <v>2</v>
      </c>
      <c r="AQ32" s="16">
        <f>IF(ISNA(VLOOKUP(A32,'Données projet'!$A$61:$I$81,4,0)),0,VLOOKUP(A32,'Données projet'!$A$61:$I$81,4,0))</f>
        <v>52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1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34.442506490755086</v>
      </c>
      <c r="AX32" s="23">
        <f t="shared" si="6"/>
        <v>34.442506490755086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11.4</v>
      </c>
      <c r="BD32" s="13">
        <f>IF('Données projet'!$A$88&gt;35,BD31+BC32-BL31,IF(A32&lt;'Données projet'!$A$88,$BA$205^A32,IF(A32='Données projet'!$A$88,'Données projet'!$B$88,BD31+BC32-BL31)))</f>
        <v>151.6</v>
      </c>
      <c r="BE32" s="14">
        <f>BD32*VLOOKUP('Données projet'!$B$11,Paramètres!$A$1:$I$89,3,0)*VLOOKUP('Données projet'!$B$11,Paramètres!$A$1:$I$89,5,0)</f>
        <v>132.43776</v>
      </c>
      <c r="BF32" s="14">
        <f t="shared" si="37"/>
        <v>34.559043580858436</v>
      </c>
      <c r="BG32" s="22">
        <f t="shared" si="7"/>
        <v>290.85276623666175</v>
      </c>
      <c r="BH32" s="62">
        <f t="shared" si="8"/>
        <v>620.93832179221727</v>
      </c>
      <c r="BI32" s="62">
        <f ca="1">AVERAGE(OFFSET($BH$3,0,0,'Données projet'!$E$11+1,1))-AVERAGE(OFFSET($H$3,0,0,'Données projet'!$E$11+1,1))</f>
        <v>316.00112010575197</v>
      </c>
      <c r="BJ32" s="62">
        <f t="shared" si="38"/>
        <v>345.16550310248078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9.4458380747133361</v>
      </c>
      <c r="BS32" s="24">
        <f t="shared" si="9"/>
        <v>9.4458380747133361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79.099999999999994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10.92333333333333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3.4678800000000005</v>
      </c>
      <c r="D33" s="12">
        <f t="shared" si="32"/>
        <v>1.3827786620000471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4.8676785169544345</v>
      </c>
      <c r="H33" s="70">
        <f t="shared" si="1"/>
        <v>298.4815638363167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K33" s="13">
        <f>VLOOKUP(A33,'Données projet'!$A$35:$I$55,2,0)</f>
        <v>328</v>
      </c>
      <c r="L33" s="13">
        <f>VLOOKUP(A33,'Données projet'!$A$35:$I$55,9,0)</f>
        <v>24.8</v>
      </c>
      <c r="M33" s="13">
        <f t="array" ref="M33">INDEX(L:L,MIN(IF(ISNUMBER(L33:L229),ROW(L33:L229),"")))</f>
        <v>24.8</v>
      </c>
      <c r="N33" s="14">
        <f>IF('Données projet'!$A$36&gt;35,N32+M33-V32,IF(A33&lt;'Données projet'!$A$36,$K$205^A33,IF(A33='Données projet'!$A$36,'Données projet'!$B$36,N32+M33-V32)))</f>
        <v>328.00000000000006</v>
      </c>
      <c r="O33" s="14">
        <f>N33*VLOOKUP('Données projet'!$B$9,Paramètres!$A$1:$I$89,3,0)*VLOOKUP('Données projet'!$B$9,Paramètres!$A$1:$I$89,5,0)</f>
        <v>183.35200000000003</v>
      </c>
      <c r="P33" s="14">
        <f t="shared" si="33"/>
        <v>46.06714169356475</v>
      </c>
      <c r="Q33" s="22">
        <f t="shared" si="2"/>
        <v>399.57167178295862</v>
      </c>
      <c r="R33" s="62">
        <f t="shared" si="0"/>
        <v>731.03833844962526</v>
      </c>
      <c r="S33" s="62">
        <f ca="1">AVERAGE(OFFSET($R$3,0,0,'Données projet'!$E$9+1,1))-AVERAGE(OFFSET($H$3,0,0,'Données projet'!$E$9+1,1))</f>
        <v>358.51982625142648</v>
      </c>
      <c r="T33" s="62">
        <f t="shared" si="34"/>
        <v>432.55677461330856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42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5.5000000000000007E-2</v>
      </c>
      <c r="Y33" s="17">
        <f>IF(ISNA(VLOOKUP(A33,'Données projet'!$A$35:$I$55,7,0)),0%,VLOOKUP(A33,'Données projet'!$A$35:$I$55,7,0))</f>
        <v>0.9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1.7062347630087249</v>
      </c>
      <c r="AB33" s="23">
        <f>EXP(-LN(2)/2)*AB32+(1-EXP(-LN(2)/2))/(LN(2)/2)*V33*Y33*VLOOKUP('Données projet'!$B$9,Paramètres!$A$1:$I$89,3,0)*0.475*44/12</f>
        <v>25.490686666720027</v>
      </c>
      <c r="AC33" s="24">
        <f t="shared" si="3"/>
        <v>27.196921429728754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32</v>
      </c>
      <c r="AI33" s="14">
        <f>IF('Données projet'!$A$62&gt;35,AI32+AH33-AQ32,IF(A33&lt;'Données projet'!$A$62,$AF$205^A33,IF(A33='Données projet'!$A$62,'Données projet'!$B$62,AI32+AH33-AQ32)))</f>
        <v>193</v>
      </c>
      <c r="AJ33" s="14">
        <f>AI33*VLOOKUP('Données projet'!$B$10,Paramètres!$A$1:$I$89,3,0)*VLOOKUP('Données projet'!$B$10,Paramètres!$A$1:$I$89,5,0)</f>
        <v>90.324000000000012</v>
      </c>
      <c r="AK33" s="14">
        <f t="shared" si="35"/>
        <v>24.643349641795833</v>
      </c>
      <c r="AL33" s="22">
        <f t="shared" si="4"/>
        <v>200.23480062612774</v>
      </c>
      <c r="AM33" s="62">
        <f t="shared" si="5"/>
        <v>531.7014672927944</v>
      </c>
      <c r="AN33" s="62">
        <f ca="1">AVERAGE(OFFSET($AM$3,0,0,'Données projet'!$E$10+1,1))-AVERAGE(OFFSET($H$3,0,0,'Données projet'!$E$10+1,1))</f>
        <v>264.16738206207805</v>
      </c>
      <c r="AO33" s="62">
        <f t="shared" si="36"/>
        <v>233.21990345647771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24.354529900674603</v>
      </c>
      <c r="AX33" s="23">
        <f t="shared" si="6"/>
        <v>24.354529900674603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BA33" s="13">
        <f>VLOOKUP(A33,'Données projet'!$A$87:$I$107,2,0)</f>
        <v>163</v>
      </c>
      <c r="BB33" s="13">
        <f>VLOOKUP(A33,'Données projet'!$A$87:$I$107,9,0)</f>
        <v>11.4</v>
      </c>
      <c r="BC33" s="13">
        <f t="array" ref="BC33">INDEX(BB:BB,MIN(IF(ISNUMBER(BB33:BB229),ROW(BB33:BB229),"")))</f>
        <v>11.4</v>
      </c>
      <c r="BD33" s="13">
        <f>IF('Données projet'!$A$88&gt;35,BD32+BC33-BL32,IF(A33&lt;'Données projet'!$A$88,$BA$205^A33,IF(A33='Données projet'!$A$88,'Données projet'!$B$88,BD32+BC33-BL32)))</f>
        <v>163</v>
      </c>
      <c r="BE33" s="14">
        <f>BD33*VLOOKUP('Données projet'!$B$11,Paramètres!$A$1:$I$89,3,0)*VLOOKUP('Données projet'!$B$11,Paramètres!$A$1:$I$89,5,0)</f>
        <v>142.39680000000004</v>
      </c>
      <c r="BF33" s="14">
        <f t="shared" si="37"/>
        <v>36.845535084476985</v>
      </c>
      <c r="BG33" s="22">
        <f t="shared" si="7"/>
        <v>312.18040027213078</v>
      </c>
      <c r="BH33" s="62">
        <f t="shared" si="8"/>
        <v>643.64706693879748</v>
      </c>
      <c r="BI33" s="62">
        <f ca="1">AVERAGE(OFFSET($BH$3,0,0,'Données projet'!$E$11+1,1))-AVERAGE(OFFSET($H$3,0,0,'Données projet'!$E$11+1,1))</f>
        <v>316.00112010575197</v>
      </c>
      <c r="BJ33" s="62">
        <f t="shared" si="38"/>
        <v>345.16550310248078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37.177025322792772</v>
      </c>
      <c r="BS33" s="24">
        <f t="shared" si="9"/>
        <v>37.177025322792772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79.099999999999994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11.3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3.5834760000000005</v>
      </c>
      <c r="D34" s="12">
        <f t="shared" si="32"/>
        <v>1.4234280547789464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5.0244721391816807</v>
      </c>
      <c r="H34" s="70">
        <f t="shared" si="1"/>
        <v>298.75369122873997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24.8</v>
      </c>
      <c r="N34" s="14">
        <f>IF('Données projet'!$A$36&gt;35,N33+M34-V33,IF(A34&lt;'Données projet'!$A$36,$K$205^A34,IF(A34='Données projet'!$A$36,'Données projet'!$B$36,N33+M34-V33)))</f>
        <v>310.80000000000007</v>
      </c>
      <c r="O34" s="14">
        <f>N34*VLOOKUP('Données projet'!$B$9,Paramètres!$A$1:$I$89,3,0)*VLOOKUP('Données projet'!$B$9,Paramètres!$A$1:$I$89,5,0)</f>
        <v>173.73720000000006</v>
      </c>
      <c r="P34" s="14">
        <f t="shared" si="33"/>
        <v>43.925969821948698</v>
      </c>
      <c r="Q34" s="22">
        <f t="shared" si="2"/>
        <v>379.09668743989408</v>
      </c>
      <c r="R34" s="62">
        <f t="shared" si="0"/>
        <v>705.79668743989407</v>
      </c>
      <c r="S34" s="62">
        <f ca="1">AVERAGE(OFFSET($R$3,0,0,'Données projet'!$E$9+1,1))-AVERAGE(OFFSET($H$3,0,0,'Données projet'!$E$9+1,1))</f>
        <v>358.51982625142648</v>
      </c>
      <c r="T34" s="62">
        <f t="shared" si="34"/>
        <v>432.55677461330856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1.6595776836872649</v>
      </c>
      <c r="AB34" s="23">
        <f>EXP(-LN(2)/2)*AB33+(1-EXP(-LN(2)/2))/(LN(2)/2)*V34*Y34*VLOOKUP('Données projet'!$B$9,Paramètres!$A$1:$I$89,3,0)*0.475*44/12</f>
        <v>18.024637399139245</v>
      </c>
      <c r="AC34" s="24">
        <f t="shared" si="3"/>
        <v>19.684215082826508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32</v>
      </c>
      <c r="AI34" s="14">
        <f>IF('Données projet'!$A$62&gt;35,AI33+AH34-AQ33,IF(A34&lt;'Données projet'!$A$62,$AF$205^A34,IF(A34='Données projet'!$A$62,'Données projet'!$B$62,AI33+AH34-AQ33)))</f>
        <v>225</v>
      </c>
      <c r="AJ34" s="14">
        <f>AI34*VLOOKUP('Données projet'!$B$10,Paramètres!$A$1:$I$89,3,0)*VLOOKUP('Données projet'!$B$10,Paramètres!$A$1:$I$89,5,0)</f>
        <v>105.3</v>
      </c>
      <c r="AK34" s="14">
        <f t="shared" si="35"/>
        <v>28.220829418515034</v>
      </c>
      <c r="AL34" s="22">
        <f t="shared" si="4"/>
        <v>232.54877790391367</v>
      </c>
      <c r="AM34" s="62">
        <f t="shared" si="5"/>
        <v>559.24877790391361</v>
      </c>
      <c r="AN34" s="62">
        <f ca="1">AVERAGE(OFFSET($AM$3,0,0,'Données projet'!$E$10+1,1))-AVERAGE(OFFSET($H$3,0,0,'Données projet'!$E$10+1,1))</f>
        <v>264.16738206207805</v>
      </c>
      <c r="AO34" s="62">
        <f t="shared" si="36"/>
        <v>233.21990345647771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17.221253245377547</v>
      </c>
      <c r="AX34" s="23">
        <f t="shared" si="6"/>
        <v>17.221253245377547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136.6</v>
      </c>
      <c r="BE34" s="14">
        <f>BD34*VLOOKUP('Données projet'!$B$11,Paramètres!$A$1:$I$89,3,0)*VLOOKUP('Données projet'!$B$11,Paramètres!$A$1:$I$89,5,0)</f>
        <v>119.33376000000001</v>
      </c>
      <c r="BF34" s="14">
        <f t="shared" si="37"/>
        <v>31.519559440518702</v>
      </c>
      <c r="BG34" s="22">
        <f t="shared" si="7"/>
        <v>262.7361980255701</v>
      </c>
      <c r="BH34" s="62">
        <f t="shared" si="8"/>
        <v>589.43619802557009</v>
      </c>
      <c r="BI34" s="62">
        <f ca="1">AVERAGE(OFFSET($BH$3,0,0,'Données projet'!$E$11+1,1))-AVERAGE(OFFSET($H$3,0,0,'Données projet'!$E$11+1,1))</f>
        <v>316.00112010575197</v>
      </c>
      <c r="BJ34" s="62">
        <f t="shared" si="38"/>
        <v>345.16550310248078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26.288126710090769</v>
      </c>
      <c r="BS34" s="24">
        <f t="shared" si="9"/>
        <v>26.288126710090769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79.099999999999994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3.6990720000000006</v>
      </c>
      <c r="D35" s="12">
        <f t="shared" si="32"/>
        <v>1.4639250739212932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5.1811128531280355</v>
      </c>
      <c r="H35" s="70">
        <f t="shared" si="1"/>
        <v>299.02555323707958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24.8</v>
      </c>
      <c r="N35" s="14">
        <f>IF('Données projet'!$A$36&gt;35,N34+M35-V34,IF(A35&lt;'Données projet'!$A$36,$K$205^A35,IF(A35='Données projet'!$A$36,'Données projet'!$B$36,N34+M35-V34)))</f>
        <v>335.60000000000008</v>
      </c>
      <c r="O35" s="14">
        <f>N35*VLOOKUP('Données projet'!$B$9,Paramètres!$A$1:$I$89,3,0)*VLOOKUP('Données projet'!$B$9,Paramètres!$A$1:$I$89,5,0)</f>
        <v>187.60040000000004</v>
      </c>
      <c r="P35" s="14">
        <f t="shared" si="33"/>
        <v>47.009043567098132</v>
      </c>
      <c r="Q35" s="22">
        <f t="shared" ref="Q35:Q66" si="53">(O35+P35)*0.475*44/12</f>
        <v>408.6114475460293</v>
      </c>
      <c r="R35" s="62">
        <f t="shared" si="0"/>
        <v>735.31144754602929</v>
      </c>
      <c r="S35" s="62">
        <f ca="1">AVERAGE(OFFSET($R$3,0,0,'Données projet'!$E$9+1,1))-AVERAGE(OFFSET($H$3,0,0,'Données projet'!$E$9+1,1))</f>
        <v>358.51982625142648</v>
      </c>
      <c r="T35" s="62">
        <f t="shared" si="34"/>
        <v>432.55677461330856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1.6141964446534391</v>
      </c>
      <c r="AB35" s="23">
        <f>EXP(-LN(2)/2)*AB34+(1-EXP(-LN(2)/2))/(LN(2)/2)*V35*Y35*VLOOKUP('Données projet'!$B$9,Paramètres!$A$1:$I$89,3,0)*0.475*44/12</f>
        <v>12.745343333360015</v>
      </c>
      <c r="AC35" s="24">
        <f t="shared" si="3"/>
        <v>14.359539778013454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32</v>
      </c>
      <c r="AI35" s="14">
        <f>IF('Données projet'!$A$62&gt;35,AI34+AH35-AQ34,IF(A35&lt;'Données projet'!$A$62,$AF$205^A35,IF(A35='Données projet'!$A$62,'Données projet'!$B$62,AI34+AH35-AQ34)))</f>
        <v>257</v>
      </c>
      <c r="AJ35" s="14">
        <f>AI35*VLOOKUP('Données projet'!$B$10,Paramètres!$A$1:$I$89,3,0)*VLOOKUP('Données projet'!$B$10,Paramètres!$A$1:$I$89,5,0)</f>
        <v>120.276</v>
      </c>
      <c r="AK35" s="14">
        <f t="shared" si="35"/>
        <v>31.739363152156315</v>
      </c>
      <c r="AL35" s="22">
        <f t="shared" si="4"/>
        <v>264.76009082333889</v>
      </c>
      <c r="AM35" s="62">
        <f t="shared" si="5"/>
        <v>591.46009082333887</v>
      </c>
      <c r="AN35" s="62">
        <f ca="1">AVERAGE(OFFSET($AM$3,0,0,'Données projet'!$E$10+1,1))-AVERAGE(OFFSET($H$3,0,0,'Données projet'!$E$10+1,1))</f>
        <v>264.16738206207805</v>
      </c>
      <c r="AO35" s="62">
        <f t="shared" si="36"/>
        <v>233.21990345647771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12.177264950337303</v>
      </c>
      <c r="AX35" s="23">
        <f t="shared" si="6"/>
        <v>12.177264950337303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147.19999999999999</v>
      </c>
      <c r="BE35" s="14">
        <f>BD35*VLOOKUP('Données projet'!$B$11,Paramètres!$A$1:$I$89,3,0)*VLOOKUP('Données projet'!$B$11,Paramètres!$A$1:$I$89,5,0)</f>
        <v>128.59392</v>
      </c>
      <c r="BF35" s="14">
        <f t="shared" si="37"/>
        <v>33.671250175837564</v>
      </c>
      <c r="BG35" s="22">
        <f t="shared" si="7"/>
        <v>282.61183805625041</v>
      </c>
      <c r="BH35" s="62">
        <f t="shared" si="8"/>
        <v>609.31183805625039</v>
      </c>
      <c r="BI35" s="62">
        <f ca="1">AVERAGE(OFFSET($BH$3,0,0,'Données projet'!$E$11+1,1))-AVERAGE(OFFSET($H$3,0,0,'Données projet'!$E$11+1,1))</f>
        <v>316.00112010575197</v>
      </c>
      <c r="BJ35" s="62">
        <f t="shared" si="38"/>
        <v>345.16550310248078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18.58851266139639</v>
      </c>
      <c r="BS35" s="24">
        <f t="shared" si="9"/>
        <v>18.58851266139639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79.099999999999994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3.8146680000000006</v>
      </c>
      <c r="D36" s="12">
        <f t="shared" si="32"/>
        <v>1.5042750274587047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5.3376059854497884</v>
      </c>
      <c r="H36" s="70">
        <f t="shared" si="1"/>
        <v>299.29715910615721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24.8</v>
      </c>
      <c r="N36" s="14">
        <f>IF('Données projet'!$A$36&gt;35,N35+M36-V35,IF(A36&lt;'Données projet'!$A$36,$K$205^A36,IF(A36='Données projet'!$A$36,'Données projet'!$B$36,N35+M36-V35)))</f>
        <v>360.40000000000009</v>
      </c>
      <c r="O36" s="14">
        <f>N36*VLOOKUP('Données projet'!$B$9,Paramètres!$A$1:$I$89,3,0)*VLOOKUP('Données projet'!$B$9,Paramètres!$A$1:$I$89,5,0)</f>
        <v>201.46360000000004</v>
      </c>
      <c r="P36" s="14">
        <f t="shared" si="33"/>
        <v>50.065686082954073</v>
      </c>
      <c r="Q36" s="22">
        <f t="shared" si="53"/>
        <v>438.08017326114509</v>
      </c>
      <c r="R36" s="62">
        <f t="shared" si="0"/>
        <v>764.78017326114514</v>
      </c>
      <c r="S36" s="62">
        <f ca="1">AVERAGE(OFFSET($R$3,0,0,'Données projet'!$E$9+1,1))-AVERAGE(OFFSET($H$3,0,0,'Données projet'!$E$9+1,1))</f>
        <v>358.51982625142648</v>
      </c>
      <c r="T36" s="62">
        <f t="shared" si="34"/>
        <v>432.55677461330856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1.5700561579874892</v>
      </c>
      <c r="AB36" s="23">
        <f>EXP(-LN(2)/2)*AB35+(1-EXP(-LN(2)/2))/(LN(2)/2)*V36*Y36*VLOOKUP('Données projet'!$B$9,Paramètres!$A$1:$I$89,3,0)*0.475*44/12</f>
        <v>9.0123186995696223</v>
      </c>
      <c r="AC36" s="24">
        <f t="shared" si="3"/>
        <v>10.582374857557111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32</v>
      </c>
      <c r="AI36" s="14">
        <f>IF('Données projet'!$A$62&gt;35,AI35+AH36-AQ35,IF(A36&lt;'Données projet'!$A$62,$AF$205^A36,IF(A36='Données projet'!$A$62,'Données projet'!$B$62,AI35+AH36-AQ35)))</f>
        <v>289</v>
      </c>
      <c r="AJ36" s="14">
        <f>AI36*VLOOKUP('Données projet'!$B$10,Paramètres!$A$1:$I$89,3,0)*VLOOKUP('Données projet'!$B$10,Paramètres!$A$1:$I$89,5,0)</f>
        <v>135.25199999999998</v>
      </c>
      <c r="AK36" s="14">
        <f t="shared" si="35"/>
        <v>35.207130861518152</v>
      </c>
      <c r="AL36" s="22">
        <f t="shared" si="4"/>
        <v>296.88298625047742</v>
      </c>
      <c r="AM36" s="62">
        <f t="shared" si="5"/>
        <v>623.58298625047746</v>
      </c>
      <c r="AN36" s="62">
        <f ca="1">AVERAGE(OFFSET($AM$3,0,0,'Données projet'!$E$10+1,1))-AVERAGE(OFFSET($H$3,0,0,'Données projet'!$E$10+1,1))</f>
        <v>264.16738206207805</v>
      </c>
      <c r="AO36" s="62">
        <f t="shared" si="36"/>
        <v>233.21990345647771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8.6106266226887751</v>
      </c>
      <c r="AX36" s="23">
        <f t="shared" si="6"/>
        <v>8.6106266226887751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157.79999999999998</v>
      </c>
      <c r="BE36" s="14">
        <f>BD36*VLOOKUP('Données projet'!$B$11,Paramètres!$A$1:$I$89,3,0)*VLOOKUP('Données projet'!$B$11,Paramètres!$A$1:$I$89,5,0)</f>
        <v>137.85408000000001</v>
      </c>
      <c r="BF36" s="14">
        <f t="shared" si="37"/>
        <v>35.804964283629964</v>
      </c>
      <c r="BG36" s="22">
        <f t="shared" si="7"/>
        <v>302.45616879398887</v>
      </c>
      <c r="BH36" s="62">
        <f t="shared" si="8"/>
        <v>629.15616879398885</v>
      </c>
      <c r="BI36" s="62">
        <f ca="1">AVERAGE(OFFSET($BH$3,0,0,'Données projet'!$E$11+1,1))-AVERAGE(OFFSET($H$3,0,0,'Données projet'!$E$11+1,1))</f>
        <v>316.00112010575197</v>
      </c>
      <c r="BJ36" s="62">
        <f t="shared" si="38"/>
        <v>345.16550310248078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13.144063355045386</v>
      </c>
      <c r="BS36" s="24">
        <f t="shared" si="9"/>
        <v>13.144063355045386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79.099999999999994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3.9302640000000006</v>
      </c>
      <c r="D37" s="12">
        <f t="shared" si="32"/>
        <v>1.5444828834429902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5.4939565216305111</v>
      </c>
      <c r="H37" s="70">
        <f t="shared" si="1"/>
        <v>299.56851748866319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24.8</v>
      </c>
      <c r="N37" s="14">
        <f>IF('Données projet'!$A$36&gt;35,N36+M37-V36,IF(A37&lt;'Données projet'!$A$36,$K$205^A37,IF(A37='Données projet'!$A$36,'Données projet'!$B$36,N36+M37-V36)))</f>
        <v>385.2000000000001</v>
      </c>
      <c r="O37" s="14">
        <f>N37*VLOOKUP('Données projet'!$B$9,Paramètres!$A$1:$I$89,3,0)*VLOOKUP('Données projet'!$B$9,Paramètres!$A$1:$I$89,5,0)</f>
        <v>215.32680000000008</v>
      </c>
      <c r="P37" s="14">
        <f t="shared" si="33"/>
        <v>53.097923071509783</v>
      </c>
      <c r="Q37" s="22">
        <f t="shared" si="53"/>
        <v>467.50639268287961</v>
      </c>
      <c r="R37" s="62">
        <f t="shared" si="0"/>
        <v>794.2063926828796</v>
      </c>
      <c r="S37" s="62">
        <f ca="1">AVERAGE(OFFSET($R$3,0,0,'Données projet'!$E$9+1,1))-AVERAGE(OFFSET($H$3,0,0,'Données projet'!$E$9+1,1))</f>
        <v>358.51982625142648</v>
      </c>
      <c r="T37" s="62">
        <f t="shared" si="34"/>
        <v>432.55677461330856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1.5271228897816564</v>
      </c>
      <c r="AB37" s="23">
        <f>EXP(-LN(2)/2)*AB36+(1-EXP(-LN(2)/2))/(LN(2)/2)*V37*Y37*VLOOKUP('Données projet'!$B$9,Paramètres!$A$1:$I$89,3,0)*0.475*44/12</f>
        <v>6.3726716666800076</v>
      </c>
      <c r="AC37" s="24">
        <f t="shared" si="3"/>
        <v>7.8997945564616643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321</v>
      </c>
      <c r="AG37" s="13">
        <f>VLOOKUP(A37,'Données projet'!$A$61:$I$81,9,0)</f>
        <v>32</v>
      </c>
      <c r="AH37" s="13">
        <f t="array" ref="AH37">INDEX(AG:AG,MIN(IF(ISNUMBER(AG37:AG233),ROW(AG37:AG233),"")))</f>
        <v>32</v>
      </c>
      <c r="AI37" s="14">
        <f>IF('Données projet'!$A$62&gt;35,AI36+AH37-AQ36,IF(A37&lt;'Données projet'!$A$62,$AF$205^A37,IF(A37='Données projet'!$A$62,'Données projet'!$B$62,AI36+AH37-AQ36)))</f>
        <v>321</v>
      </c>
      <c r="AJ37" s="14">
        <f>AI37*VLOOKUP('Données projet'!$B$10,Paramètres!$A$1:$I$89,3,0)*VLOOKUP('Données projet'!$B$10,Paramètres!$A$1:$I$89,5,0)</f>
        <v>150.22800000000001</v>
      </c>
      <c r="AK37" s="14">
        <f t="shared" si="35"/>
        <v>38.630394857933659</v>
      </c>
      <c r="AL37" s="22">
        <f t="shared" si="4"/>
        <v>328.92837104423444</v>
      </c>
      <c r="AM37" s="62">
        <f t="shared" si="5"/>
        <v>655.62837104423443</v>
      </c>
      <c r="AN37" s="62">
        <f ca="1">AVERAGE(OFFSET($AM$3,0,0,'Données projet'!$E$10+1,1))-AVERAGE(OFFSET($H$3,0,0,'Données projet'!$E$10+1,1))</f>
        <v>264.16738206207805</v>
      </c>
      <c r="AO37" s="62">
        <f t="shared" si="36"/>
        <v>233.21990345647771</v>
      </c>
      <c r="AP37" s="16">
        <f>IF(ISNA(VLOOKUP(A37,'Données projet'!$A$61:$I$81,3,0)),0,VLOOKUP(A37,'Données projet'!$A$61:$I$81,3,0))</f>
        <v>3</v>
      </c>
      <c r="AQ37" s="16">
        <f>IF(ISNA(VLOOKUP(A37,'Données projet'!$A$61:$I$81,4,0)),0,VLOOKUP(A37,'Données projet'!$A$61:$I$81,4,0))</f>
        <v>65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6.0886324751686525</v>
      </c>
      <c r="AX37" s="23">
        <f t="shared" si="6"/>
        <v>6.0886324751686525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168.39999999999998</v>
      </c>
      <c r="BE37" s="14">
        <f>BD37*VLOOKUP('Données projet'!$B$11,Paramètres!$A$1:$I$89,3,0)*VLOOKUP('Données projet'!$B$11,Paramètres!$A$1:$I$89,5,0)</f>
        <v>147.11424</v>
      </c>
      <c r="BF37" s="14">
        <f t="shared" si="37"/>
        <v>37.922046712608186</v>
      </c>
      <c r="BG37" s="22">
        <f t="shared" si="7"/>
        <v>322.27153269112591</v>
      </c>
      <c r="BH37" s="62">
        <f t="shared" si="8"/>
        <v>648.97153269112596</v>
      </c>
      <c r="BI37" s="62">
        <f ca="1">AVERAGE(OFFSET($BH$3,0,0,'Données projet'!$E$11+1,1))-AVERAGE(OFFSET($H$3,0,0,'Données projet'!$E$11+1,1))</f>
        <v>316.00112010575197</v>
      </c>
      <c r="BJ37" s="62">
        <f t="shared" si="38"/>
        <v>345.16550310248078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9.2942563306981967</v>
      </c>
      <c r="BS37" s="24">
        <f t="shared" si="9"/>
        <v>9.2942563306981967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79.099999999999994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4.0458600000000002</v>
      </c>
      <c r="D38" s="12">
        <f t="shared" si="32"/>
        <v>1.5845533010732491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5.6501691372173655</v>
      </c>
      <c r="H38" s="70">
        <f t="shared" si="1"/>
        <v>299.83963649936919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410</v>
      </c>
      <c r="L38" s="13">
        <f>VLOOKUP(A38,'Données projet'!$A$35:$I$55,9,0)</f>
        <v>24.8</v>
      </c>
      <c r="M38" s="13">
        <f t="array" ref="M38">INDEX(L:L,MIN(IF(ISNUMBER(L38:L234),ROW(L38:L234),"")))</f>
        <v>24.8</v>
      </c>
      <c r="N38" s="14">
        <f>IF('Données projet'!$A$36&gt;35,N37+M38-V37,IF(A38&lt;'Données projet'!$A$36,$K$205^A38,IF(A38='Données projet'!$A$36,'Données projet'!$B$36,N37+M38-V37)))</f>
        <v>410.00000000000011</v>
      </c>
      <c r="O38" s="14">
        <f>N38*VLOOKUP('Données projet'!$B$9,Paramètres!$A$1:$I$89,3,0)*VLOOKUP('Données projet'!$B$9,Paramètres!$A$1:$I$89,5,0)</f>
        <v>229.19000000000005</v>
      </c>
      <c r="P38" s="14">
        <f t="shared" si="33"/>
        <v>56.107504648403449</v>
      </c>
      <c r="Q38" s="22">
        <f t="shared" si="53"/>
        <v>496.89315392930274</v>
      </c>
      <c r="R38" s="62">
        <f t="shared" si="0"/>
        <v>823.59315392930273</v>
      </c>
      <c r="S38" s="62">
        <f ca="1">AVERAGE(OFFSET($R$3,0,0,'Données projet'!$E$9+1,1))-AVERAGE(OFFSET($H$3,0,0,'Données projet'!$E$9+1,1))</f>
        <v>358.51982625142648</v>
      </c>
      <c r="T38" s="62">
        <f t="shared" si="34"/>
        <v>432.55677461330856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1.4853636340526746</v>
      </c>
      <c r="AB38" s="23">
        <f>EXP(-LN(2)/2)*AB37+(1-EXP(-LN(2)/2))/(LN(2)/2)*V38*Y38*VLOOKUP('Données projet'!$B$9,Paramètres!$A$1:$I$89,3,0)*0.475*44/12</f>
        <v>4.5061593497848111</v>
      </c>
      <c r="AC38" s="24">
        <f t="shared" si="3"/>
        <v>5.9915229838374859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32.4</v>
      </c>
      <c r="AI38" s="14">
        <f>IF('Données projet'!$A$62&gt;35,AI37+AH38-AQ37,IF(A38&lt;'Données projet'!$A$62,$AF$205^A38,IF(A38='Données projet'!$A$62,'Données projet'!$B$62,AI37+AH38-AQ37)))</f>
        <v>288.39999999999998</v>
      </c>
      <c r="AJ38" s="14">
        <f>AI38*VLOOKUP('Données projet'!$B$10,Paramètres!$A$1:$I$89,3,0)*VLOOKUP('Données projet'!$B$10,Paramètres!$A$1:$I$89,5,0)</f>
        <v>134.97119999999998</v>
      </c>
      <c r="AK38" s="14">
        <f t="shared" si="35"/>
        <v>35.142536849088657</v>
      </c>
      <c r="AL38" s="22">
        <f t="shared" si="4"/>
        <v>296.28142501216269</v>
      </c>
      <c r="AM38" s="62">
        <f t="shared" si="5"/>
        <v>622.98142501216262</v>
      </c>
      <c r="AN38" s="62">
        <f ca="1">AVERAGE(OFFSET($AM$3,0,0,'Données projet'!$E$10+1,1))-AVERAGE(OFFSET($H$3,0,0,'Données projet'!$E$10+1,1))</f>
        <v>264.16738206207805</v>
      </c>
      <c r="AO38" s="62">
        <f t="shared" si="36"/>
        <v>233.21990345647771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4.3053133113443876</v>
      </c>
      <c r="AX38" s="23">
        <f t="shared" si="6"/>
        <v>4.3053133113443876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179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178.99999999999997</v>
      </c>
      <c r="BE38" s="14">
        <f>BD38*VLOOKUP('Données projet'!$B$11,Paramètres!$A$1:$I$89,3,0)*VLOOKUP('Données projet'!$B$11,Paramètres!$A$1:$I$89,5,0)</f>
        <v>156.37440000000001</v>
      </c>
      <c r="BF38" s="14">
        <f t="shared" si="37"/>
        <v>40.023663524293205</v>
      </c>
      <c r="BG38" s="22">
        <f t="shared" si="7"/>
        <v>342.05996063814399</v>
      </c>
      <c r="BH38" s="62">
        <f t="shared" si="8"/>
        <v>668.75996063814398</v>
      </c>
      <c r="BI38" s="62">
        <f ca="1">AVERAGE(OFFSET($BH$3,0,0,'Données projet'!$E$11+1,1))-AVERAGE(OFFSET($H$3,0,0,'Données projet'!$E$11+1,1))</f>
        <v>316.00112010575197</v>
      </c>
      <c r="BJ38" s="62">
        <f t="shared" si="38"/>
        <v>345.16550310248078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6.5720316775226939</v>
      </c>
      <c r="BS38" s="24">
        <f t="shared" si="9"/>
        <v>6.5720316775226939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79.099999999999994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4.1614560000000003</v>
      </c>
      <c r="D39" s="12">
        <f t="shared" si="32"/>
        <v>1.6244906581655971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5.8062482253872325</v>
      </c>
      <c r="H39" s="70">
        <f t="shared" si="1"/>
        <v>300.1105237629717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24</v>
      </c>
      <c r="N39" s="14">
        <f>IF('Données projet'!$A$36&gt;35,N38+M39-V38,IF(A39&lt;'Données projet'!$A$36,$K$205^A39,IF(A39='Données projet'!$A$36,'Données projet'!$B$36,N38+M39-V38)))</f>
        <v>385.00000000000011</v>
      </c>
      <c r="O39" s="14">
        <f>N39*VLOOKUP('Données projet'!$B$9,Paramètres!$A$1:$I$89,3,0)*VLOOKUP('Données projet'!$B$9,Paramètres!$A$1:$I$89,5,0)</f>
        <v>215.21500000000006</v>
      </c>
      <c r="P39" s="14">
        <f t="shared" si="33"/>
        <v>53.07356235351866</v>
      </c>
      <c r="Q39" s="22">
        <f t="shared" si="53"/>
        <v>467.26924609904512</v>
      </c>
      <c r="R39" s="62">
        <f t="shared" si="0"/>
        <v>793.96924609904511</v>
      </c>
      <c r="S39" s="62">
        <f ca="1">AVERAGE(OFFSET($R$3,0,0,'Données projet'!$E$9+1,1))-AVERAGE(OFFSET($H$3,0,0,'Données projet'!$E$9+1,1))</f>
        <v>358.51982625142648</v>
      </c>
      <c r="T39" s="62">
        <f t="shared" si="34"/>
        <v>432.55677461330856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1.4447462873676256</v>
      </c>
      <c r="AB39" s="23">
        <f>EXP(-LN(2)/2)*AB38+(1-EXP(-LN(2)/2))/(LN(2)/2)*V39*Y39*VLOOKUP('Données projet'!$B$9,Paramètres!$A$1:$I$89,3,0)*0.475*44/12</f>
        <v>3.1863358333400038</v>
      </c>
      <c r="AC39" s="24">
        <f t="shared" si="3"/>
        <v>4.6310821207076298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32.4</v>
      </c>
      <c r="AI39" s="14">
        <f>IF('Données projet'!$A$62&gt;35,AI38+AH39-AQ38,IF(A39&lt;'Données projet'!$A$62,$AF$205^A39,IF(A39='Données projet'!$A$62,'Données projet'!$B$62,AI38+AH39-AQ38)))</f>
        <v>320.79999999999995</v>
      </c>
      <c r="AJ39" s="14">
        <f>AI39*VLOOKUP('Données projet'!$B$10,Paramètres!$A$1:$I$89,3,0)*VLOOKUP('Données projet'!$B$10,Paramètres!$A$1:$I$89,5,0)</f>
        <v>150.1344</v>
      </c>
      <c r="AK39" s="14">
        <f t="shared" si="35"/>
        <v>38.609126910934812</v>
      </c>
      <c r="AL39" s="22">
        <f t="shared" si="4"/>
        <v>328.7283093698781</v>
      </c>
      <c r="AM39" s="62">
        <f t="shared" si="5"/>
        <v>655.42830936987809</v>
      </c>
      <c r="AN39" s="62">
        <f ca="1">AVERAGE(OFFSET($AM$3,0,0,'Données projet'!$E$10+1,1))-AVERAGE(OFFSET($H$3,0,0,'Données projet'!$E$10+1,1))</f>
        <v>264.16738206207805</v>
      </c>
      <c r="AO39" s="62">
        <f t="shared" si="36"/>
        <v>233.21990345647771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3.0443162375843262</v>
      </c>
      <c r="AX39" s="23">
        <f t="shared" si="6"/>
        <v>3.0443162375843262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152.59999999999997</v>
      </c>
      <c r="BE39" s="14">
        <f>BD39*VLOOKUP('Données projet'!$B$11,Paramètres!$A$1:$I$89,3,0)*VLOOKUP('Données projet'!$B$11,Paramètres!$A$1:$I$89,5,0)</f>
        <v>133.31135999999998</v>
      </c>
      <c r="BF39" s="14">
        <f t="shared" si="37"/>
        <v>34.760393689821633</v>
      </c>
      <c r="BG39" s="22">
        <f t="shared" si="7"/>
        <v>292.72497100977256</v>
      </c>
      <c r="BH39" s="62">
        <f t="shared" si="8"/>
        <v>619.42497100977255</v>
      </c>
      <c r="BI39" s="62">
        <f ca="1">AVERAGE(OFFSET($BH$3,0,0,'Données projet'!$E$11+1,1))-AVERAGE(OFFSET($H$3,0,0,'Données projet'!$E$11+1,1))</f>
        <v>316.00112010575197</v>
      </c>
      <c r="BJ39" s="62">
        <f t="shared" si="38"/>
        <v>345.16550310248078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4.6471281653490983</v>
      </c>
      <c r="BS39" s="24">
        <f t="shared" si="9"/>
        <v>4.6471281653490983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79.099999999999994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4.2770520000000003</v>
      </c>
      <c r="D40" s="12">
        <f t="shared" si="32"/>
        <v>1.6642990754848921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5.9621979213637877</v>
      </c>
      <c r="H40" s="70">
        <f t="shared" si="1"/>
        <v>300.38118645646949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24</v>
      </c>
      <c r="N40" s="14">
        <f>IF('Données projet'!$A$36&gt;35,N39+M40-V39,IF(A40&lt;'Données projet'!$A$36,$K$205^A40,IF(A40='Données projet'!$A$36,'Données projet'!$B$36,N39+M40-V39)))</f>
        <v>409.00000000000011</v>
      </c>
      <c r="O40" s="14">
        <f>N40*VLOOKUP('Données projet'!$B$9,Paramètres!$A$1:$I$89,3,0)*VLOOKUP('Données projet'!$B$9,Paramètres!$A$1:$I$89,5,0)</f>
        <v>228.63100000000006</v>
      </c>
      <c r="P40" s="14">
        <f t="shared" si="33"/>
        <v>55.986568953377507</v>
      </c>
      <c r="Q40" s="22">
        <f t="shared" si="53"/>
        <v>495.70893259379926</v>
      </c>
      <c r="R40" s="62">
        <f t="shared" si="0"/>
        <v>822.40893259379925</v>
      </c>
      <c r="S40" s="62">
        <f ca="1">AVERAGE(OFFSET($R$3,0,0,'Données projet'!$E$9+1,1))-AVERAGE(OFFSET($H$3,0,0,'Données projet'!$E$9+1,1))</f>
        <v>358.51982625142648</v>
      </c>
      <c r="T40" s="62">
        <f t="shared" si="34"/>
        <v>432.55677461330856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1.4052396241636527</v>
      </c>
      <c r="AB40" s="23">
        <f>EXP(-LN(2)/2)*AB39+(1-EXP(-LN(2)/2))/(LN(2)/2)*V40*Y40*VLOOKUP('Données projet'!$B$9,Paramètres!$A$1:$I$89,3,0)*0.475*44/12</f>
        <v>2.2530796748924056</v>
      </c>
      <c r="AC40" s="24">
        <f t="shared" si="3"/>
        <v>3.6583192990560582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32.4</v>
      </c>
      <c r="AI40" s="14">
        <f>IF('Données projet'!$A$62&gt;35,AI39+AH40-AQ39,IF(A40&lt;'Données projet'!$A$62,$AF$205^A40,IF(A40='Données projet'!$A$62,'Données projet'!$B$62,AI39+AH40-AQ39)))</f>
        <v>353.19999999999993</v>
      </c>
      <c r="AJ40" s="14">
        <f>AI40*VLOOKUP('Données projet'!$B$10,Paramètres!$A$1:$I$89,3,0)*VLOOKUP('Données projet'!$B$10,Paramètres!$A$1:$I$89,5,0)</f>
        <v>165.29759999999996</v>
      </c>
      <c r="AK40" s="14">
        <f t="shared" si="35"/>
        <v>42.035129205137387</v>
      </c>
      <c r="AL40" s="22">
        <f t="shared" si="4"/>
        <v>361.10450336561422</v>
      </c>
      <c r="AM40" s="62">
        <f t="shared" si="5"/>
        <v>687.80450336561421</v>
      </c>
      <c r="AN40" s="62">
        <f ca="1">AVERAGE(OFFSET($AM$3,0,0,'Données projet'!$E$10+1,1))-AVERAGE(OFFSET($H$3,0,0,'Données projet'!$E$10+1,1))</f>
        <v>264.16738206207805</v>
      </c>
      <c r="AO40" s="62">
        <f t="shared" si="36"/>
        <v>233.21990345647771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2.1526566556721938</v>
      </c>
      <c r="AX40" s="23">
        <f t="shared" si="6"/>
        <v>2.1526566556721938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162.19999999999996</v>
      </c>
      <c r="BE40" s="14">
        <f>BD40*VLOOKUP('Données projet'!$B$11,Paramètres!$A$1:$I$89,3,0)*VLOOKUP('Données projet'!$B$11,Paramètres!$A$1:$I$89,5,0)</f>
        <v>141.69791999999998</v>
      </c>
      <c r="BF40" s="14">
        <f t="shared" si="37"/>
        <v>36.685701801209362</v>
      </c>
      <c r="BG40" s="22">
        <f t="shared" si="7"/>
        <v>310.68480797043964</v>
      </c>
      <c r="BH40" s="62">
        <f t="shared" si="8"/>
        <v>637.38480797043962</v>
      </c>
      <c r="BI40" s="62">
        <f ca="1">AVERAGE(OFFSET($BH$3,0,0,'Données projet'!$E$11+1,1))-AVERAGE(OFFSET($H$3,0,0,'Données projet'!$E$11+1,1))</f>
        <v>316.00112010575197</v>
      </c>
      <c r="BJ40" s="62">
        <f t="shared" si="38"/>
        <v>345.16550310248078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3.286015838761347</v>
      </c>
      <c r="BS40" s="24">
        <f t="shared" si="9"/>
        <v>3.286015838761347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79.099999999999994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4.3926480000000003</v>
      </c>
      <c r="D41" s="12">
        <f t="shared" si="32"/>
        <v>1.703982438372031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6.1180221241207056</v>
      </c>
      <c r="H41" s="70">
        <f t="shared" si="1"/>
        <v>300.65163134683127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24</v>
      </c>
      <c r="N41" s="14">
        <f>IF('Données projet'!$A$36&gt;35,N40+M41-V40,IF(A41&lt;'Données projet'!$A$36,$K$205^A41,IF(A41='Données projet'!$A$36,'Données projet'!$B$36,N40+M41-V40)))</f>
        <v>433.00000000000011</v>
      </c>
      <c r="O41" s="14">
        <f>N41*VLOOKUP('Données projet'!$B$9,Paramètres!$A$1:$I$89,3,0)*VLOOKUP('Données projet'!$B$9,Paramètres!$A$1:$I$89,5,0)</f>
        <v>242.04700000000008</v>
      </c>
      <c r="P41" s="14">
        <f t="shared" si="33"/>
        <v>58.879734570359574</v>
      </c>
      <c r="Q41" s="22">
        <f t="shared" si="53"/>
        <v>524.11406271004307</v>
      </c>
      <c r="R41" s="62">
        <f t="shared" si="0"/>
        <v>850.81406271004312</v>
      </c>
      <c r="S41" s="62">
        <f ca="1">AVERAGE(OFFSET($R$3,0,0,'Données projet'!$E$9+1,1))-AVERAGE(OFFSET($H$3,0,0,'Données projet'!$E$9+1,1))</f>
        <v>358.51982625142648</v>
      </c>
      <c r="T41" s="62">
        <f t="shared" si="34"/>
        <v>432.55677461330856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1.3668132727425575</v>
      </c>
      <c r="AB41" s="23">
        <f>EXP(-LN(2)/2)*AB40+(1-EXP(-LN(2)/2))/(LN(2)/2)*V41*Y41*VLOOKUP('Données projet'!$B$9,Paramètres!$A$1:$I$89,3,0)*0.475*44/12</f>
        <v>1.5931679166700019</v>
      </c>
      <c r="AC41" s="24">
        <f t="shared" si="3"/>
        <v>2.9599811894125594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32.4</v>
      </c>
      <c r="AI41" s="14">
        <f>IF('Données projet'!$A$62&gt;35,AI40+AH41-AQ40,IF(A41&lt;'Données projet'!$A$62,$AF$205^A41,IF(A41='Données projet'!$A$62,'Données projet'!$B$62,AI40+AH41-AQ40)))</f>
        <v>385.59999999999991</v>
      </c>
      <c r="AJ41" s="14">
        <f>AI41*VLOOKUP('Données projet'!$B$10,Paramètres!$A$1:$I$89,3,0)*VLOOKUP('Données projet'!$B$10,Paramètres!$A$1:$I$89,5,0)</f>
        <v>180.46079999999998</v>
      </c>
      <c r="AK41" s="14">
        <f t="shared" si="35"/>
        <v>45.424690416772727</v>
      </c>
      <c r="AL41" s="22">
        <f t="shared" si="4"/>
        <v>393.41722914254575</v>
      </c>
      <c r="AM41" s="62">
        <f t="shared" si="5"/>
        <v>720.11722914254574</v>
      </c>
      <c r="AN41" s="62">
        <f ca="1">AVERAGE(OFFSET($AM$3,0,0,'Données projet'!$E$10+1,1))-AVERAGE(OFFSET($H$3,0,0,'Données projet'!$E$10+1,1))</f>
        <v>264.16738206207805</v>
      </c>
      <c r="AO41" s="62">
        <f t="shared" si="36"/>
        <v>233.21990345647771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1.5221581187921631</v>
      </c>
      <c r="AX41" s="23">
        <f t="shared" si="6"/>
        <v>1.5221581187921631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171.79999999999995</v>
      </c>
      <c r="BE41" s="14">
        <f>BD41*VLOOKUP('Données projet'!$B$11,Paramètres!$A$1:$I$89,3,0)*VLOOKUP('Données projet'!$B$11,Paramètres!$A$1:$I$89,5,0)</f>
        <v>150.08447999999999</v>
      </c>
      <c r="BF41" s="14">
        <f t="shared" si="37"/>
        <v>38.597783374841299</v>
      </c>
      <c r="BG41" s="22">
        <f t="shared" si="7"/>
        <v>328.62160871118186</v>
      </c>
      <c r="BH41" s="62">
        <f t="shared" si="8"/>
        <v>655.32160871118185</v>
      </c>
      <c r="BI41" s="62">
        <f ca="1">AVERAGE(OFFSET($BH$3,0,0,'Données projet'!$E$11+1,1))-AVERAGE(OFFSET($H$3,0,0,'Données projet'!$E$11+1,1))</f>
        <v>316.00112010575197</v>
      </c>
      <c r="BJ41" s="62">
        <f t="shared" si="38"/>
        <v>345.16550310248078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2.3235640826745492</v>
      </c>
      <c r="BS41" s="24">
        <f t="shared" si="9"/>
        <v>2.3235640826745492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79.099999999999994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4.5082440000000004</v>
      </c>
      <c r="D42" s="12">
        <f t="shared" si="32"/>
        <v>1.7435444160306495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6.2737245157360206</v>
      </c>
      <c r="H42" s="70">
        <f t="shared" si="1"/>
        <v>300.92186482458669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24</v>
      </c>
      <c r="N42" s="14">
        <f>IF('Données projet'!$A$36&gt;35,N41+M42-V41,IF(A42&lt;'Données projet'!$A$36,$K$205^A42,IF(A42='Données projet'!$A$36,'Données projet'!$B$36,N41+M42-V41)))</f>
        <v>457.00000000000011</v>
      </c>
      <c r="O42" s="14">
        <f>N42*VLOOKUP('Données projet'!$B$9,Paramètres!$A$1:$I$89,3,0)*VLOOKUP('Données projet'!$B$9,Paramètres!$A$1:$I$89,5,0)</f>
        <v>255.46300000000008</v>
      </c>
      <c r="P42" s="14">
        <f t="shared" si="33"/>
        <v>61.754284280703082</v>
      </c>
      <c r="Q42" s="22">
        <f t="shared" si="53"/>
        <v>552.48677012222458</v>
      </c>
      <c r="R42" s="62">
        <f t="shared" si="0"/>
        <v>879.18677012222452</v>
      </c>
      <c r="S42" s="62">
        <f ca="1">AVERAGE(OFFSET($R$3,0,0,'Données projet'!$E$9+1,1))-AVERAGE(OFFSET($H$3,0,0,'Données projet'!$E$9+1,1))</f>
        <v>358.51982625142648</v>
      </c>
      <c r="T42" s="62">
        <f t="shared" si="34"/>
        <v>432.55677461330856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1.329437691921826</v>
      </c>
      <c r="AB42" s="23">
        <f>EXP(-LN(2)/2)*AB41+(1-EXP(-LN(2)/2))/(LN(2)/2)*V42*Y42*VLOOKUP('Données projet'!$B$9,Paramètres!$A$1:$I$89,3,0)*0.475*44/12</f>
        <v>1.1265398374462028</v>
      </c>
      <c r="AC42" s="24">
        <f t="shared" si="3"/>
        <v>2.4559775293680288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>
        <f>VLOOKUP(A42,'Données projet'!$A$61:$I$81,2,0)</f>
        <v>418</v>
      </c>
      <c r="AG42" s="13">
        <f>VLOOKUP(A42,'Données projet'!$A$61:$I$81,9,0)</f>
        <v>32.4</v>
      </c>
      <c r="AH42" s="13">
        <f t="array" ref="AH42">INDEX(AG:AG,MIN(IF(ISNUMBER(AG42:AG238),ROW(AG42:AG238),"")))</f>
        <v>32.4</v>
      </c>
      <c r="AI42" s="14">
        <f>IF('Données projet'!$A$62&gt;35,AI41+AH42-AQ41,IF(A42&lt;'Données projet'!$A$62,$AF$205^A42,IF(A42='Données projet'!$A$62,'Données projet'!$B$62,AI41+AH42-AQ41)))</f>
        <v>417.99999999999989</v>
      </c>
      <c r="AJ42" s="14">
        <f>AI42*VLOOKUP('Données projet'!$B$10,Paramètres!$A$1:$I$89,3,0)*VLOOKUP('Données projet'!$B$10,Paramètres!$A$1:$I$89,5,0)</f>
        <v>195.62399999999997</v>
      </c>
      <c r="AK42" s="14">
        <f t="shared" si="35"/>
        <v>48.781220625276006</v>
      </c>
      <c r="AL42" s="22">
        <f t="shared" si="4"/>
        <v>425.67242592235561</v>
      </c>
      <c r="AM42" s="62">
        <f t="shared" si="5"/>
        <v>752.37242592235566</v>
      </c>
      <c r="AN42" s="62">
        <f ca="1">AVERAGE(OFFSET($AM$3,0,0,'Données projet'!$E$10+1,1))-AVERAGE(OFFSET($H$3,0,0,'Données projet'!$E$10+1,1))</f>
        <v>264.16738206207805</v>
      </c>
      <c r="AO42" s="62">
        <f t="shared" si="36"/>
        <v>233.21990345647771</v>
      </c>
      <c r="AP42" s="16">
        <f>IF(ISNA(VLOOKUP(A42,'Données projet'!$A$61:$I$81,3,0)),0,VLOOKUP(A42,'Données projet'!$A$61:$I$81,3,0))</f>
        <v>4</v>
      </c>
      <c r="AQ42" s="16">
        <f>IF(ISNA(VLOOKUP(A42,'Données projet'!$A$61:$I$81,4,0)),0,VLOOKUP(A42,'Données projet'!$A$61:$I$81,4,0))</f>
        <v>70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1.0763283278360969</v>
      </c>
      <c r="AX42" s="23">
        <f t="shared" si="6"/>
        <v>1.0763283278360969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181.39999999999995</v>
      </c>
      <c r="BE42" s="14">
        <f>BD42*VLOOKUP('Données projet'!$B$11,Paramètres!$A$1:$I$89,3,0)*VLOOKUP('Données projet'!$B$11,Paramètres!$A$1:$I$89,5,0)</f>
        <v>158.47103999999996</v>
      </c>
      <c r="BF42" s="14">
        <f t="shared" si="37"/>
        <v>40.497461727609561</v>
      </c>
      <c r="BG42" s="22">
        <f t="shared" si="7"/>
        <v>346.53680717558655</v>
      </c>
      <c r="BH42" s="62">
        <f t="shared" si="8"/>
        <v>673.23680717558659</v>
      </c>
      <c r="BI42" s="62">
        <f ca="1">AVERAGE(OFFSET($BH$3,0,0,'Données projet'!$E$11+1,1))-AVERAGE(OFFSET($H$3,0,0,'Données projet'!$E$11+1,1))</f>
        <v>316.00112010575197</v>
      </c>
      <c r="BJ42" s="62">
        <f t="shared" si="38"/>
        <v>345.16550310248078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1.6430079193806735</v>
      </c>
      <c r="BS42" s="24">
        <f t="shared" si="9"/>
        <v>1.6430079193806735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79.099999999999994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4.6238400000000004</v>
      </c>
      <c r="D43" s="12">
        <f t="shared" si="32"/>
        <v>1.7829884787800361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6.429308578705581</v>
      </c>
      <c r="H43" s="70">
        <f t="shared" si="1"/>
        <v>301.19189293387518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481</v>
      </c>
      <c r="L43" s="13">
        <f>VLOOKUP(A43,'Données projet'!$A$35:$I$55,9,0)</f>
        <v>24</v>
      </c>
      <c r="M43" s="13">
        <f t="array" ref="M43">INDEX(L:L,MIN(IF(ISNUMBER(L43:L239),ROW(L43:L239),"")))</f>
        <v>24</v>
      </c>
      <c r="N43" s="14">
        <f>IF('Données projet'!$A$36&gt;35,N42+M43-V42,IF(A43&lt;'Données projet'!$A$36,$K$205^A43,IF(A43='Données projet'!$A$36,'Données projet'!$B$36,N42+M43-V42)))</f>
        <v>481.00000000000011</v>
      </c>
      <c r="O43" s="14">
        <f>N43*VLOOKUP('Données projet'!$B$9,Paramètres!$A$1:$I$89,3,0)*VLOOKUP('Données projet'!$B$9,Paramètres!$A$1:$I$89,5,0)</f>
        <v>268.87900000000008</v>
      </c>
      <c r="P43" s="14">
        <f t="shared" si="33"/>
        <v>64.611307219969405</v>
      </c>
      <c r="Q43" s="22">
        <f t="shared" si="53"/>
        <v>580.82895174144687</v>
      </c>
      <c r="R43" s="62">
        <f t="shared" si="0"/>
        <v>907.52895174144692</v>
      </c>
      <c r="S43" s="62">
        <f ca="1">AVERAGE(OFFSET($R$3,0,0,'Données projet'!$E$9+1,1))-AVERAGE(OFFSET($H$3,0,0,'Données projet'!$E$9+1,1))</f>
        <v>358.51982625142648</v>
      </c>
      <c r="T43" s="62">
        <f t="shared" si="34"/>
        <v>432.55677461330856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58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1.293084148324134</v>
      </c>
      <c r="AB43" s="23">
        <f>EXP(-LN(2)/2)*AB42+(1-EXP(-LN(2)/2))/(LN(2)/2)*V43*Y43*VLOOKUP('Données projet'!$B$9,Paramètres!$A$1:$I$89,3,0)*0.475*44/12</f>
        <v>0.79658395833500095</v>
      </c>
      <c r="AC43" s="24">
        <f t="shared" si="3"/>
        <v>2.0896681066591349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29.8</v>
      </c>
      <c r="AI43" s="14">
        <f>IF('Données projet'!$A$62&gt;35,AI42+AH43-AQ42,IF(A43&lt;'Données projet'!$A$62,$AF$205^A43,IF(A43='Données projet'!$A$62,'Données projet'!$B$62,AI42+AH43-AQ42)))</f>
        <v>377.7999999999999</v>
      </c>
      <c r="AJ43" s="14">
        <f>AI43*VLOOKUP('Données projet'!$B$10,Paramètres!$A$1:$I$89,3,0)*VLOOKUP('Données projet'!$B$10,Paramètres!$A$1:$I$89,5,0)</f>
        <v>176.81039999999996</v>
      </c>
      <c r="AK43" s="14">
        <f t="shared" si="35"/>
        <v>44.611822218388589</v>
      </c>
      <c r="AL43" s="22">
        <f t="shared" si="4"/>
        <v>385.64370369702669</v>
      </c>
      <c r="AM43" s="62">
        <f t="shared" si="5"/>
        <v>712.34370369702674</v>
      </c>
      <c r="AN43" s="62">
        <f ca="1">AVERAGE(OFFSET($AM$3,0,0,'Données projet'!$E$10+1,1))-AVERAGE(OFFSET($H$3,0,0,'Données projet'!$E$10+1,1))</f>
        <v>264.16738206207805</v>
      </c>
      <c r="AO43" s="62">
        <f t="shared" si="36"/>
        <v>233.21990345647771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0.76107905939608156</v>
      </c>
      <c r="AX43" s="23">
        <f t="shared" si="6"/>
        <v>0.76107905939608156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190.99999999999994</v>
      </c>
      <c r="BE43" s="14">
        <f>BD43*VLOOKUP('Données projet'!$B$11,Paramètres!$A$1:$I$89,3,0)*VLOOKUP('Données projet'!$B$11,Paramètres!$A$1:$I$89,5,0)</f>
        <v>166.85759999999996</v>
      </c>
      <c r="BF43" s="14">
        <f t="shared" si="37"/>
        <v>42.385468111966098</v>
      </c>
      <c r="BG43" s="22">
        <f t="shared" si="7"/>
        <v>364.43167696167421</v>
      </c>
      <c r="BH43" s="62">
        <f t="shared" si="8"/>
        <v>691.1316769616742</v>
      </c>
      <c r="BI43" s="62">
        <f ca="1">AVERAGE(OFFSET($BH$3,0,0,'Données projet'!$E$11+1,1))-AVERAGE(OFFSET($H$3,0,0,'Données projet'!$E$11+1,1))</f>
        <v>316.00112010575197</v>
      </c>
      <c r="BJ43" s="62">
        <f t="shared" si="38"/>
        <v>345.16550310248078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1.1617820413372746</v>
      </c>
      <c r="BS43" s="24">
        <f t="shared" si="9"/>
        <v>1.1617820413372746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79.099999999999994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4.7394360000000004</v>
      </c>
      <c r="D44" s="12">
        <f t="shared" si="32"/>
        <v>1.8223179135341911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6.5847776114764178</v>
      </c>
      <c r="H44" s="70">
        <f t="shared" si="1"/>
        <v>301.46172139940535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20.6</v>
      </c>
      <c r="N44" s="14">
        <f>IF('Données projet'!$A$36&gt;35,N43+M44-V43,IF(A44&lt;'Données projet'!$A$36,$K$205^A44,IF(A44='Données projet'!$A$36,'Données projet'!$B$36,N43+M44-V43)))</f>
        <v>443.60000000000014</v>
      </c>
      <c r="O44" s="14">
        <f>N44*VLOOKUP('Données projet'!$B$9,Paramètres!$A$1:$I$89,3,0)*VLOOKUP('Données projet'!$B$9,Paramètres!$A$1:$I$89,5,0)</f>
        <v>247.97240000000008</v>
      </c>
      <c r="P44" s="14">
        <f t="shared" si="33"/>
        <v>60.151555263879217</v>
      </c>
      <c r="Q44" s="22">
        <f t="shared" si="53"/>
        <v>536.64922208458972</v>
      </c>
      <c r="R44" s="62">
        <f t="shared" si="0"/>
        <v>863.34922208458966</v>
      </c>
      <c r="S44" s="62">
        <f ca="1">AVERAGE(OFFSET($R$3,0,0,'Données projet'!$E$9+1,1))-AVERAGE(OFFSET($H$3,0,0,'Données projet'!$E$9+1,1))</f>
        <v>358.51982625142648</v>
      </c>
      <c r="T44" s="62">
        <f t="shared" si="34"/>
        <v>432.55677461330856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1.2577246942878706</v>
      </c>
      <c r="AB44" s="23">
        <f>EXP(-LN(2)/2)*AB43+(1-EXP(-LN(2)/2))/(LN(2)/2)*V44*Y44*VLOOKUP('Données projet'!$B$9,Paramètres!$A$1:$I$89,3,0)*0.475*44/12</f>
        <v>0.56326991872310139</v>
      </c>
      <c r="AC44" s="24">
        <f t="shared" si="3"/>
        <v>1.820994613010972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29.8</v>
      </c>
      <c r="AI44" s="14">
        <f>IF('Données projet'!$A$62&gt;35,AI43+AH44-AQ43,IF(A44&lt;'Données projet'!$A$62,$AF$205^A44,IF(A44='Données projet'!$A$62,'Données projet'!$B$62,AI43+AH44-AQ43)))</f>
        <v>407.59999999999991</v>
      </c>
      <c r="AJ44" s="14">
        <f>AI44*VLOOKUP('Données projet'!$B$10,Paramètres!$A$1:$I$89,3,0)*VLOOKUP('Données projet'!$B$10,Paramètres!$A$1:$I$89,5,0)</f>
        <v>190.75679999999997</v>
      </c>
      <c r="AK44" s="14">
        <f t="shared" si="35"/>
        <v>47.707231855830237</v>
      </c>
      <c r="AL44" s="22">
        <f t="shared" si="4"/>
        <v>415.32485548223758</v>
      </c>
      <c r="AM44" s="62">
        <f t="shared" si="5"/>
        <v>742.02485548223763</v>
      </c>
      <c r="AN44" s="62">
        <f ca="1">AVERAGE(OFFSET($AM$3,0,0,'Données projet'!$E$10+1,1))-AVERAGE(OFFSET($H$3,0,0,'Données projet'!$E$10+1,1))</f>
        <v>264.16738206207805</v>
      </c>
      <c r="AO44" s="62">
        <f t="shared" si="36"/>
        <v>233.21990345647771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0.53816416391804844</v>
      </c>
      <c r="AX44" s="23">
        <f t="shared" si="6"/>
        <v>0.53816416391804844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8.6</v>
      </c>
      <c r="BD44" s="13">
        <f>IF('Données projet'!$A$88&gt;35,BD43+BC44-BL43,IF(A44&lt;'Données projet'!$A$88,$BA$205^A44,IF(A44='Données projet'!$A$88,'Données projet'!$B$88,BD43+BC44-BL43)))</f>
        <v>166.59999999999994</v>
      </c>
      <c r="BE44" s="14">
        <f>BD44*VLOOKUP('Données projet'!$B$11,Paramètres!$A$1:$I$89,3,0)*VLOOKUP('Données projet'!$B$11,Paramètres!$A$1:$I$89,5,0)</f>
        <v>145.54175999999998</v>
      </c>
      <c r="BF44" s="14">
        <f t="shared" si="37"/>
        <v>37.563662342876064</v>
      </c>
      <c r="BG44" s="22">
        <f t="shared" si="7"/>
        <v>318.90861058050911</v>
      </c>
      <c r="BH44" s="62">
        <f t="shared" si="8"/>
        <v>645.60861058050909</v>
      </c>
      <c r="BI44" s="62">
        <f ca="1">AVERAGE(OFFSET($BH$3,0,0,'Données projet'!$E$11+1,1))-AVERAGE(OFFSET($H$3,0,0,'Données projet'!$E$11+1,1))</f>
        <v>316.00112010575197</v>
      </c>
      <c r="BJ44" s="62">
        <f t="shared" si="38"/>
        <v>345.16550310248078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0.82150395969033674</v>
      </c>
      <c r="BS44" s="24">
        <f t="shared" si="9"/>
        <v>0.82150395969033674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79.099999999999994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4.8550320000000005</v>
      </c>
      <c r="D45" s="12">
        <f t="shared" si="32"/>
        <v>1.8615358377282107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6.7401347424219962</v>
      </c>
      <c r="H45" s="70">
        <f t="shared" si="1"/>
        <v>301.73135565070993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20.6</v>
      </c>
      <c r="N45" s="14">
        <f>IF('Données projet'!$A$36&gt;35,N44+M45-V44,IF(A45&lt;'Données projet'!$A$36,$K$205^A45,IF(A45='Données projet'!$A$36,'Données projet'!$B$36,N44+M45-V44)))</f>
        <v>464.20000000000016</v>
      </c>
      <c r="O45" s="14">
        <f>N45*VLOOKUP('Données projet'!$B$9,Paramètres!$A$1:$I$89,3,0)*VLOOKUP('Données projet'!$B$9,Paramètres!$A$1:$I$89,5,0)</f>
        <v>259.48780000000005</v>
      </c>
      <c r="P45" s="14">
        <f t="shared" si="33"/>
        <v>62.613185087484013</v>
      </c>
      <c r="Q45" s="22">
        <f t="shared" si="53"/>
        <v>560.992549027368</v>
      </c>
      <c r="R45" s="62">
        <f t="shared" si="0"/>
        <v>887.69254902736793</v>
      </c>
      <c r="S45" s="62">
        <f ca="1">AVERAGE(OFFSET($R$3,0,0,'Données projet'!$E$9+1,1))-AVERAGE(OFFSET($H$3,0,0,'Données projet'!$E$9+1,1))</f>
        <v>358.51982625142648</v>
      </c>
      <c r="T45" s="62">
        <f t="shared" si="34"/>
        <v>432.55677461330856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1.2233321463817017</v>
      </c>
      <c r="AB45" s="23">
        <f>EXP(-LN(2)/2)*AB44+(1-EXP(-LN(2)/2))/(LN(2)/2)*V45*Y45*VLOOKUP('Données projet'!$B$9,Paramètres!$A$1:$I$89,3,0)*0.475*44/12</f>
        <v>0.39829197916750048</v>
      </c>
      <c r="AC45" s="24">
        <f t="shared" si="3"/>
        <v>1.6216241255492023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29.8</v>
      </c>
      <c r="AI45" s="14">
        <f>IF('Données projet'!$A$62&gt;35,AI44+AH45-AQ44,IF(A45&lt;'Données projet'!$A$62,$AF$205^A45,IF(A45='Données projet'!$A$62,'Données projet'!$B$62,AI44+AH45-AQ44)))</f>
        <v>437.39999999999992</v>
      </c>
      <c r="AJ45" s="14">
        <f>AI45*VLOOKUP('Données projet'!$B$10,Paramètres!$A$1:$I$89,3,0)*VLOOKUP('Données projet'!$B$10,Paramètres!$A$1:$I$89,5,0)</f>
        <v>204.70319999999998</v>
      </c>
      <c r="AK45" s="14">
        <f t="shared" si="35"/>
        <v>50.776386315598728</v>
      </c>
      <c r="AL45" s="22">
        <f t="shared" si="4"/>
        <v>444.96027949966771</v>
      </c>
      <c r="AM45" s="62">
        <f t="shared" si="5"/>
        <v>771.66027949966769</v>
      </c>
      <c r="AN45" s="62">
        <f ca="1">AVERAGE(OFFSET($AM$3,0,0,'Données projet'!$E$10+1,1))-AVERAGE(OFFSET($H$3,0,0,'Données projet'!$E$10+1,1))</f>
        <v>264.16738206207805</v>
      </c>
      <c r="AO45" s="62">
        <f t="shared" si="36"/>
        <v>233.21990345647771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0.38053952969804078</v>
      </c>
      <c r="AX45" s="23">
        <f t="shared" si="6"/>
        <v>0.38053952969804078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8.6</v>
      </c>
      <c r="BD45" s="13">
        <f>IF('Données projet'!$A$88&gt;35,BD44+BC45-BL44,IF(A45&lt;'Données projet'!$A$88,$BA$205^A45,IF(A45='Données projet'!$A$88,'Données projet'!$B$88,BD44+BC45-BL44)))</f>
        <v>175.19999999999993</v>
      </c>
      <c r="BE45" s="14">
        <f>BD45*VLOOKUP('Données projet'!$B$11,Paramètres!$A$1:$I$89,3,0)*VLOOKUP('Données projet'!$B$11,Paramètres!$A$1:$I$89,5,0)</f>
        <v>153.05471999999995</v>
      </c>
      <c r="BF45" s="14">
        <f t="shared" si="37"/>
        <v>39.271965088385166</v>
      </c>
      <c r="BG45" s="22">
        <f t="shared" si="7"/>
        <v>334.96897652893739</v>
      </c>
      <c r="BH45" s="62">
        <f t="shared" si="8"/>
        <v>661.66897652893738</v>
      </c>
      <c r="BI45" s="62">
        <f ca="1">AVERAGE(OFFSET($BH$3,0,0,'Données projet'!$E$11+1,1))-AVERAGE(OFFSET($H$3,0,0,'Données projet'!$E$11+1,1))</f>
        <v>316.00112010575197</v>
      </c>
      <c r="BJ45" s="62">
        <f t="shared" si="38"/>
        <v>345.16550310248078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0.58089102066863729</v>
      </c>
      <c r="BS45" s="24">
        <f t="shared" si="9"/>
        <v>0.58089102066863729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79.099999999999994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4.9706280000000005</v>
      </c>
      <c r="D46" s="12">
        <f t="shared" si="32"/>
        <v>1.900645211880992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6.8953829424489959</v>
      </c>
      <c r="H46" s="70">
        <f t="shared" si="1"/>
        <v>302.000800844026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20.6</v>
      </c>
      <c r="N46" s="14">
        <f>IF('Données projet'!$A$36&gt;35,N45+M46-V45,IF(A46&lt;'Données projet'!$A$36,$K$205^A46,IF(A46='Données projet'!$A$36,'Données projet'!$B$36,N45+M46-V45)))</f>
        <v>484.80000000000018</v>
      </c>
      <c r="O46" s="14">
        <f>N46*VLOOKUP('Données projet'!$B$9,Paramètres!$A$1:$I$89,3,0)*VLOOKUP('Données projet'!$B$9,Paramètres!$A$1:$I$89,5,0)</f>
        <v>271.00320000000011</v>
      </c>
      <c r="P46" s="14">
        <f t="shared" si="33"/>
        <v>65.062127670866857</v>
      </c>
      <c r="Q46" s="22">
        <f t="shared" si="53"/>
        <v>585.31377902676002</v>
      </c>
      <c r="R46" s="62">
        <f t="shared" si="0"/>
        <v>912.01377902675995</v>
      </c>
      <c r="S46" s="62">
        <f ca="1">AVERAGE(OFFSET($R$3,0,0,'Données projet'!$E$9+1,1))-AVERAGE(OFFSET($H$3,0,0,'Données projet'!$E$9+1,1))</f>
        <v>358.51982625142648</v>
      </c>
      <c r="T46" s="62">
        <f t="shared" si="34"/>
        <v>432.55677461330856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1.1898800645066525</v>
      </c>
      <c r="AB46" s="23">
        <f>EXP(-LN(2)/2)*AB45+(1-EXP(-LN(2)/2))/(LN(2)/2)*V46*Y46*VLOOKUP('Données projet'!$B$9,Paramètres!$A$1:$I$89,3,0)*0.475*44/12</f>
        <v>0.2816349593615507</v>
      </c>
      <c r="AC46" s="24">
        <f t="shared" si="3"/>
        <v>1.4715150238682031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29.8</v>
      </c>
      <c r="AI46" s="14">
        <f>IF('Données projet'!$A$62&gt;35,AI45+AH46-AQ45,IF(A46&lt;'Données projet'!$A$62,$AF$205^A46,IF(A46='Données projet'!$A$62,'Données projet'!$B$62,AI45+AH46-AQ45)))</f>
        <v>467.19999999999993</v>
      </c>
      <c r="AJ46" s="14">
        <f>AI46*VLOOKUP('Données projet'!$B$10,Paramètres!$A$1:$I$89,3,0)*VLOOKUP('Données projet'!$B$10,Paramètres!$A$1:$I$89,5,0)</f>
        <v>218.64959999999999</v>
      </c>
      <c r="AK46" s="14">
        <f t="shared" si="35"/>
        <v>53.821277860805893</v>
      </c>
      <c r="AL46" s="22">
        <f t="shared" si="4"/>
        <v>474.55344560757021</v>
      </c>
      <c r="AM46" s="62">
        <f t="shared" si="5"/>
        <v>801.25344560757026</v>
      </c>
      <c r="AN46" s="62">
        <f ca="1">AVERAGE(OFFSET($AM$3,0,0,'Données projet'!$E$10+1,1))-AVERAGE(OFFSET($H$3,0,0,'Données projet'!$E$10+1,1))</f>
        <v>264.16738206207805</v>
      </c>
      <c r="AO46" s="62">
        <f t="shared" si="36"/>
        <v>233.21990345647771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0.26908208195902422</v>
      </c>
      <c r="AX46" s="23">
        <f t="shared" si="6"/>
        <v>0.26908208195902422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8.6</v>
      </c>
      <c r="BD46" s="13">
        <f>IF('Données projet'!$A$88&gt;35,BD45+BC46-BL45,IF(A46&lt;'Données projet'!$A$88,$BA$205^A46,IF(A46='Données projet'!$A$88,'Données projet'!$B$88,BD45+BC46-BL45)))</f>
        <v>183.79999999999993</v>
      </c>
      <c r="BE46" s="14">
        <f>BD46*VLOOKUP('Données projet'!$B$11,Paramètres!$A$1:$I$89,3,0)*VLOOKUP('Données projet'!$B$11,Paramètres!$A$1:$I$89,5,0)</f>
        <v>160.56767999999997</v>
      </c>
      <c r="BF46" s="14">
        <f t="shared" si="37"/>
        <v>40.970530810309882</v>
      </c>
      <c r="BG46" s="22">
        <f t="shared" si="7"/>
        <v>351.01238382795628</v>
      </c>
      <c r="BH46" s="62">
        <f t="shared" si="8"/>
        <v>677.71238382795627</v>
      </c>
      <c r="BI46" s="62">
        <f ca="1">AVERAGE(OFFSET($BH$3,0,0,'Données projet'!$E$11+1,1))-AVERAGE(OFFSET($H$3,0,0,'Données projet'!$E$11+1,1))</f>
        <v>316.00112010575197</v>
      </c>
      <c r="BJ46" s="62">
        <f t="shared" si="38"/>
        <v>345.16550310248078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0.41075197984516837</v>
      </c>
      <c r="BS46" s="24">
        <f t="shared" si="9"/>
        <v>0.41075197984516837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79.099999999999994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5.0862240000000005</v>
      </c>
      <c r="D47" s="12">
        <f t="shared" si="32"/>
        <v>1.9396488509563805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7.0505250363983336</v>
      </c>
      <c r="H47" s="70">
        <f t="shared" si="1"/>
        <v>302.27006188208236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20.6</v>
      </c>
      <c r="N47" s="14">
        <f>IF('Données projet'!$A$36&gt;35,N46+M47-V46,IF(A47&lt;'Données projet'!$A$36,$K$205^A47,IF(A47='Données projet'!$A$36,'Données projet'!$B$36,N46+M47-V46)))</f>
        <v>505.4000000000002</v>
      </c>
      <c r="O47" s="14">
        <f>N47*VLOOKUP('Données projet'!$B$9,Paramètres!$A$1:$I$89,3,0)*VLOOKUP('Données projet'!$B$9,Paramètres!$A$1:$I$89,5,0)</f>
        <v>282.51860000000011</v>
      </c>
      <c r="P47" s="14">
        <f t="shared" si="33"/>
        <v>67.498983751557503</v>
      </c>
      <c r="Q47" s="22">
        <f t="shared" si="53"/>
        <v>609.61395836729616</v>
      </c>
      <c r="R47" s="62">
        <f t="shared" si="0"/>
        <v>936.31395836729621</v>
      </c>
      <c r="S47" s="62">
        <f ca="1">AVERAGE(OFFSET($R$3,0,0,'Données projet'!$E$9+1,1))-AVERAGE(OFFSET($H$3,0,0,'Données projet'!$E$9+1,1))</f>
        <v>358.51982625142648</v>
      </c>
      <c r="T47" s="62">
        <f t="shared" si="34"/>
        <v>432.55677461330856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1.157342731569645</v>
      </c>
      <c r="AB47" s="23">
        <f>EXP(-LN(2)/2)*AB46+(1-EXP(-LN(2)/2))/(LN(2)/2)*V47*Y47*VLOOKUP('Données projet'!$B$9,Paramètres!$A$1:$I$89,3,0)*0.475*44/12</f>
        <v>0.19914598958375024</v>
      </c>
      <c r="AC47" s="24">
        <f t="shared" si="3"/>
        <v>1.3564887211533951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497</v>
      </c>
      <c r="AG47" s="13">
        <f>VLOOKUP(A47,'Données projet'!$A$61:$I$81,9,0)</f>
        <v>29.8</v>
      </c>
      <c r="AH47" s="13">
        <f t="array" ref="AH47">INDEX(AG:AG,MIN(IF(ISNUMBER(AG47:AG243),ROW(AG47:AG243),"")))</f>
        <v>29.8</v>
      </c>
      <c r="AI47" s="14">
        <f>IF('Données projet'!$A$62&gt;35,AI46+AH47-AQ46,IF(A47&lt;'Données projet'!$A$62,$AF$205^A47,IF(A47='Données projet'!$A$62,'Données projet'!$B$62,AI46+AH47-AQ46)))</f>
        <v>496.99999999999994</v>
      </c>
      <c r="AJ47" s="14">
        <f>AI47*VLOOKUP('Données projet'!$B$10,Paramètres!$A$1:$I$89,3,0)*VLOOKUP('Données projet'!$B$10,Paramètres!$A$1:$I$89,5,0)</f>
        <v>232.59599999999995</v>
      </c>
      <c r="AK47" s="14">
        <f t="shared" si="35"/>
        <v>56.843630236302218</v>
      </c>
      <c r="AL47" s="22">
        <f t="shared" si="4"/>
        <v>504.10735599489294</v>
      </c>
      <c r="AM47" s="62">
        <f t="shared" si="5"/>
        <v>830.80735599489299</v>
      </c>
      <c r="AN47" s="62">
        <f ca="1">AVERAGE(OFFSET($AM$3,0,0,'Données projet'!$E$10+1,1))-AVERAGE(OFFSET($H$3,0,0,'Données projet'!$E$10+1,1))</f>
        <v>264.16738206207805</v>
      </c>
      <c r="AO47" s="62">
        <f t="shared" si="36"/>
        <v>233.21990345647771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53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0.19026976484902039</v>
      </c>
      <c r="AX47" s="23">
        <f t="shared" si="6"/>
        <v>0.19026976484902039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8.6</v>
      </c>
      <c r="BD47" s="13">
        <f>IF('Données projet'!$A$88&gt;35,BD46+BC47-BL46,IF(A47&lt;'Données projet'!$A$88,$BA$205^A47,IF(A47='Données projet'!$A$88,'Données projet'!$B$88,BD46+BC47-BL46)))</f>
        <v>192.39999999999992</v>
      </c>
      <c r="BE47" s="14">
        <f>BD47*VLOOKUP('Données projet'!$B$11,Paramètres!$A$1:$I$89,3,0)*VLOOKUP('Données projet'!$B$11,Paramètres!$A$1:$I$89,5,0)</f>
        <v>168.08063999999996</v>
      </c>
      <c r="BF47" s="14">
        <f t="shared" si="37"/>
        <v>42.659867131343425</v>
      </c>
      <c r="BG47" s="22">
        <f t="shared" si="7"/>
        <v>367.03971658708974</v>
      </c>
      <c r="BH47" s="62">
        <f t="shared" si="8"/>
        <v>693.73971658708979</v>
      </c>
      <c r="BI47" s="62">
        <f ca="1">AVERAGE(OFFSET($BH$3,0,0,'Données projet'!$E$11+1,1))-AVERAGE(OFFSET($H$3,0,0,'Données projet'!$E$11+1,1))</f>
        <v>316.00112010575197</v>
      </c>
      <c r="BJ47" s="62">
        <f t="shared" si="38"/>
        <v>345.16550310248078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0.29044551033431865</v>
      </c>
      <c r="BS47" s="24">
        <f t="shared" si="9"/>
        <v>0.29044551033431865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79.099999999999994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5.2018200000000006</v>
      </c>
      <c r="D48" s="12">
        <f t="shared" si="32"/>
        <v>1.9785494346623798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7.2055637133804948</v>
      </c>
      <c r="H48" s="70">
        <f t="shared" si="1"/>
        <v>302.53914343203695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526</v>
      </c>
      <c r="L48" s="13">
        <f>VLOOKUP(A48,'Données projet'!$A$35:$I$55,9,0)</f>
        <v>20.6</v>
      </c>
      <c r="M48" s="13">
        <f t="array" ref="M48">INDEX(L:L,MIN(IF(ISNUMBER(L48:L244),ROW(L48:L244),"")))</f>
        <v>20.6</v>
      </c>
      <c r="N48" s="14">
        <f>IF('Données projet'!$A$36&gt;35,N47+M48-V47,IF(A48&lt;'Données projet'!$A$36,$K$205^A48,IF(A48='Données projet'!$A$36,'Données projet'!$B$36,N47+M48-V47)))</f>
        <v>526.00000000000023</v>
      </c>
      <c r="O48" s="14">
        <f>N48*VLOOKUP('Données projet'!$B$9,Paramètres!$A$1:$I$89,3,0)*VLOOKUP('Données projet'!$B$9,Paramètres!$A$1:$I$89,5,0)</f>
        <v>294.03400000000011</v>
      </c>
      <c r="P48" s="14">
        <f t="shared" si="33"/>
        <v>69.924302323873434</v>
      </c>
      <c r="Q48" s="22">
        <f t="shared" si="53"/>
        <v>633.89404321407972</v>
      </c>
      <c r="R48" s="62">
        <f t="shared" si="0"/>
        <v>960.59404321407965</v>
      </c>
      <c r="S48" s="62">
        <f ca="1">AVERAGE(OFFSET($R$3,0,0,'Données projet'!$E$9+1,1))-AVERAGE(OFFSET($H$3,0,0,'Données projet'!$E$9+1,1))</f>
        <v>358.51982625142648</v>
      </c>
      <c r="T48" s="62">
        <f t="shared" si="34"/>
        <v>432.55677461330856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1.125695133712864</v>
      </c>
      <c r="AB48" s="23">
        <f>EXP(-LN(2)/2)*AB47+(1-EXP(-LN(2)/2))/(LN(2)/2)*V48*Y48*VLOOKUP('Données projet'!$B$9,Paramètres!$A$1:$I$89,3,0)*0.475*44/12</f>
        <v>0.14081747968077535</v>
      </c>
      <c r="AC48" s="24">
        <f t="shared" si="3"/>
        <v>1.2665126133936393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25.333333333333332</v>
      </c>
      <c r="AI48" s="14">
        <f>IF('Données projet'!$A$62&gt;35,AI47+AH48-AQ47,IF(A48&lt;'Données projet'!$A$62,$AF$205^A48,IF(A48='Données projet'!$A$62,'Données projet'!$B$62,AI47+AH48-AQ47)))</f>
        <v>469.33333333333326</v>
      </c>
      <c r="AJ48" s="14">
        <f>AI48*VLOOKUP('Données projet'!$B$10,Paramètres!$A$1:$I$89,3,0)*VLOOKUP('Données projet'!$B$10,Paramètres!$A$1:$I$89,5,0)</f>
        <v>219.64799999999997</v>
      </c>
      <c r="AK48" s="14">
        <f t="shared" si="35"/>
        <v>54.03837313132572</v>
      </c>
      <c r="AL48" s="22">
        <f t="shared" si="4"/>
        <v>476.67043320372562</v>
      </c>
      <c r="AM48" s="62">
        <f t="shared" si="5"/>
        <v>803.37043320372561</v>
      </c>
      <c r="AN48" s="62">
        <f ca="1">AVERAGE(OFFSET($AM$3,0,0,'Données projet'!$E$10+1,1))-AVERAGE(OFFSET($H$3,0,0,'Données projet'!$E$10+1,1))</f>
        <v>264.16738206207805</v>
      </c>
      <c r="AO48" s="62">
        <f t="shared" si="36"/>
        <v>233.21990345647771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0.13454104097951211</v>
      </c>
      <c r="AX48" s="23">
        <f t="shared" si="6"/>
        <v>0.13454104097951211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201</v>
      </c>
      <c r="BB48" s="13">
        <f>VLOOKUP(A48,'Données projet'!$A$87:$I$107,9,0)</f>
        <v>8.6</v>
      </c>
      <c r="BC48" s="13">
        <f t="array" ref="BC48">INDEX(BB:BB,MIN(IF(ISNUMBER(BB48:BB244),ROW(BB48:BB244),"")))</f>
        <v>8.6</v>
      </c>
      <c r="BD48" s="13">
        <f>IF('Données projet'!$A$88&gt;35,BD47+BC48-BL47,IF(A48&lt;'Données projet'!$A$88,$BA$205^A48,IF(A48='Données projet'!$A$88,'Données projet'!$B$88,BD47+BC48-BL47)))</f>
        <v>200.99999999999991</v>
      </c>
      <c r="BE48" s="14">
        <f>BD48*VLOOKUP('Données projet'!$B$11,Paramètres!$A$1:$I$89,3,0)*VLOOKUP('Données projet'!$B$11,Paramètres!$A$1:$I$89,5,0)</f>
        <v>175.59359999999995</v>
      </c>
      <c r="BF48" s="14">
        <f t="shared" si="37"/>
        <v>44.340433728638573</v>
      </c>
      <c r="BG48" s="22">
        <f t="shared" si="7"/>
        <v>383.05177541071203</v>
      </c>
      <c r="BH48" s="62">
        <f t="shared" si="8"/>
        <v>709.75177541071207</v>
      </c>
      <c r="BI48" s="62">
        <f ca="1">AVERAGE(OFFSET($BH$3,0,0,'Données projet'!$E$11+1,1))-AVERAGE(OFFSET($H$3,0,0,'Données projet'!$E$11+1,1))</f>
        <v>316.00112010575197</v>
      </c>
      <c r="BJ48" s="62">
        <f t="shared" si="38"/>
        <v>345.16550310248078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0.20537598992258418</v>
      </c>
      <c r="BS48" s="24">
        <f t="shared" si="9"/>
        <v>0.20537598992258418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79.099999999999994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5.3174160000000006</v>
      </c>
      <c r="D49" s="12">
        <f t="shared" si="32"/>
        <v>2.0173495168090549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7.3605015361662796</v>
      </c>
      <c r="H49" s="70">
        <f t="shared" si="1"/>
        <v>302.80804994177572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15</v>
      </c>
      <c r="N49" s="14">
        <f>IF('Données projet'!$A$36&gt;35,N48+M49-V48,IF(A49&lt;'Données projet'!$A$36,$K$205^A49,IF(A49='Données projet'!$A$36,'Données projet'!$B$36,N48+M49-V48)))</f>
        <v>484.00000000000023</v>
      </c>
      <c r="O49" s="14">
        <f>N49*VLOOKUP('Données projet'!$B$9,Paramètres!$A$1:$I$89,3,0)*VLOOKUP('Données projet'!$B$9,Paramètres!$A$1:$I$89,5,0)</f>
        <v>270.55600000000015</v>
      </c>
      <c r="P49" s="14">
        <f t="shared" si="33"/>
        <v>64.967252389325282</v>
      </c>
      <c r="Q49" s="22">
        <f t="shared" si="53"/>
        <v>584.36966457807512</v>
      </c>
      <c r="R49" s="62">
        <f t="shared" si="0"/>
        <v>911.06966457807516</v>
      </c>
      <c r="S49" s="62">
        <f ca="1">AVERAGE(OFFSET($R$3,0,0,'Données projet'!$E$9+1,1))-AVERAGE(OFFSET($H$3,0,0,'Données projet'!$E$9+1,1))</f>
        <v>358.51982625142648</v>
      </c>
      <c r="T49" s="62">
        <f t="shared" si="34"/>
        <v>432.55677461330856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1.0949129410837515</v>
      </c>
      <c r="AB49" s="23">
        <f>EXP(-LN(2)/2)*AB48+(1-EXP(-LN(2)/2))/(LN(2)/2)*V49*Y49*VLOOKUP('Données projet'!$B$9,Paramètres!$A$1:$I$89,3,0)*0.475*44/12</f>
        <v>9.9572994791875119E-2</v>
      </c>
      <c r="AC49" s="24">
        <f t="shared" si="3"/>
        <v>1.1944859358756266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25.333333333333332</v>
      </c>
      <c r="AI49" s="14">
        <f>IF('Données projet'!$A$62&gt;35,AI48+AH49-AQ48,IF(A49&lt;'Données projet'!$A$62,$AF$205^A49,IF(A49='Données projet'!$A$62,'Données projet'!$B$62,AI48+AH49-AQ48)))</f>
        <v>494.66666666666657</v>
      </c>
      <c r="AJ49" s="14">
        <f>AI49*VLOOKUP('Données projet'!$B$10,Paramètres!$A$1:$I$89,3,0)*VLOOKUP('Données projet'!$B$10,Paramètres!$A$1:$I$89,5,0)</f>
        <v>231.50399999999996</v>
      </c>
      <c r="AK49" s="14">
        <f t="shared" si="35"/>
        <v>56.607758031045634</v>
      </c>
      <c r="AL49" s="22">
        <f t="shared" si="4"/>
        <v>501.79464523740444</v>
      </c>
      <c r="AM49" s="62">
        <f t="shared" si="5"/>
        <v>828.49464523740448</v>
      </c>
      <c r="AN49" s="62">
        <f ca="1">AVERAGE(OFFSET($AM$3,0,0,'Données projet'!$E$10+1,1))-AVERAGE(OFFSET($H$3,0,0,'Données projet'!$E$10+1,1))</f>
        <v>264.16738206207805</v>
      </c>
      <c r="AO49" s="62">
        <f t="shared" si="36"/>
        <v>233.21990345647771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9.5134882424510195E-2</v>
      </c>
      <c r="AX49" s="23">
        <f t="shared" si="6"/>
        <v>9.5134882424510195E-2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7.8</v>
      </c>
      <c r="BD49" s="13">
        <f>IF('Données projet'!$A$88&gt;35,BD48+BC49-BL48,IF(A49&lt;'Données projet'!$A$88,$BA$205^A49,IF(A49='Données projet'!$A$88,'Données projet'!$B$88,BD48+BC49-BL48)))</f>
        <v>177.79999999999993</v>
      </c>
      <c r="BE49" s="14">
        <f>BD49*VLOOKUP('Données projet'!$B$11,Paramètres!$A$1:$I$89,3,0)*VLOOKUP('Données projet'!$B$11,Paramètres!$A$1:$I$89,5,0)</f>
        <v>155.32607999999996</v>
      </c>
      <c r="BF49" s="14">
        <f t="shared" si="37"/>
        <v>39.786487601092411</v>
      </c>
      <c r="BG49" s="22">
        <f t="shared" si="7"/>
        <v>339.82105523856922</v>
      </c>
      <c r="BH49" s="62">
        <f t="shared" si="8"/>
        <v>666.52105523856926</v>
      </c>
      <c r="BI49" s="62">
        <f ca="1">AVERAGE(OFFSET($BH$3,0,0,'Données projet'!$E$11+1,1))-AVERAGE(OFFSET($H$3,0,0,'Données projet'!$E$11+1,1))</f>
        <v>316.00112010575197</v>
      </c>
      <c r="BJ49" s="62">
        <f t="shared" si="38"/>
        <v>345.16550310248078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0.14522275516715932</v>
      </c>
      <c r="BS49" s="24">
        <f t="shared" si="9"/>
        <v>0.14522275516715932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79.099999999999994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5.4330120000000006</v>
      </c>
      <c r="D50" s="12">
        <f t="shared" si="32"/>
        <v>2.0560515338297569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7.515340949737932</v>
      </c>
      <c r="H50" s="70">
        <f t="shared" si="1"/>
        <v>303.07678565475345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15</v>
      </c>
      <c r="N50" s="14">
        <f>IF('Données projet'!$A$36&gt;35,N49+M50-V49,IF(A50&lt;'Données projet'!$A$36,$K$205^A50,IF(A50='Données projet'!$A$36,'Données projet'!$B$36,N49+M50-V49)))</f>
        <v>499.00000000000023</v>
      </c>
      <c r="O50" s="14">
        <f>N50*VLOOKUP('Données projet'!$B$9,Paramètres!$A$1:$I$89,3,0)*VLOOKUP('Données projet'!$B$9,Paramètres!$A$1:$I$89,5,0)</f>
        <v>278.94100000000014</v>
      </c>
      <c r="P50" s="14">
        <f t="shared" si="33"/>
        <v>66.743162406600192</v>
      </c>
      <c r="Q50" s="22">
        <f t="shared" si="53"/>
        <v>602.06658285816218</v>
      </c>
      <c r="R50" s="62">
        <f t="shared" si="0"/>
        <v>928.76658285816211</v>
      </c>
      <c r="S50" s="62">
        <f ca="1">AVERAGE(OFFSET($R$3,0,0,'Données projet'!$E$9+1,1))-AVERAGE(OFFSET($H$3,0,0,'Données projet'!$E$9+1,1))</f>
        <v>358.51982625142648</v>
      </c>
      <c r="T50" s="62">
        <f t="shared" si="34"/>
        <v>432.55677461330856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1.0649724891308472</v>
      </c>
      <c r="AB50" s="23">
        <f>EXP(-LN(2)/2)*AB49+(1-EXP(-LN(2)/2))/(LN(2)/2)*V50*Y50*VLOOKUP('Données projet'!$B$9,Paramètres!$A$1:$I$89,3,0)*0.475*44/12</f>
        <v>7.0408739840387674E-2</v>
      </c>
      <c r="AC50" s="24">
        <f t="shared" si="3"/>
        <v>1.1353812289712348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25.333333333333332</v>
      </c>
      <c r="AI50" s="14">
        <f>IF('Données projet'!$A$62&gt;35,AI49+AH50-AQ49,IF(A50&lt;'Données projet'!$A$62,$AF$205^A50,IF(A50='Données projet'!$A$62,'Données projet'!$B$62,AI49+AH50-AQ49)))</f>
        <v>519.99999999999989</v>
      </c>
      <c r="AJ50" s="14">
        <f>AI50*VLOOKUP('Données projet'!$B$10,Paramètres!$A$1:$I$89,3,0)*VLOOKUP('Données projet'!$B$10,Paramètres!$A$1:$I$89,5,0)</f>
        <v>243.35999999999996</v>
      </c>
      <c r="AK50" s="14">
        <f t="shared" si="35"/>
        <v>59.161864860837127</v>
      </c>
      <c r="AL50" s="22">
        <f t="shared" si="4"/>
        <v>526.89224796595784</v>
      </c>
      <c r="AM50" s="62">
        <f t="shared" si="5"/>
        <v>853.59224796595777</v>
      </c>
      <c r="AN50" s="62">
        <f ca="1">AVERAGE(OFFSET($AM$3,0,0,'Données projet'!$E$10+1,1))-AVERAGE(OFFSET($H$3,0,0,'Données projet'!$E$10+1,1))</f>
        <v>264.16738206207805</v>
      </c>
      <c r="AO50" s="62">
        <f t="shared" si="36"/>
        <v>233.21990345647771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6.7270520489756055E-2</v>
      </c>
      <c r="AX50" s="23">
        <f t="shared" si="6"/>
        <v>6.7270520489756055E-2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7.8</v>
      </c>
      <c r="BD50" s="13">
        <f>IF('Données projet'!$A$88&gt;35,BD49+BC50-BL49,IF(A50&lt;'Données projet'!$A$88,$BA$205^A50,IF(A50='Données projet'!$A$88,'Données projet'!$B$88,BD49+BC50-BL49)))</f>
        <v>185.59999999999994</v>
      </c>
      <c r="BE50" s="14">
        <f>BD50*VLOOKUP('Données projet'!$B$11,Paramètres!$A$1:$I$89,3,0)*VLOOKUP('Données projet'!$B$11,Paramètres!$A$1:$I$89,5,0)</f>
        <v>162.14015999999998</v>
      </c>
      <c r="BF50" s="14">
        <f t="shared" si="37"/>
        <v>41.324860537333677</v>
      </c>
      <c r="BG50" s="22">
        <f t="shared" si="7"/>
        <v>354.36824410252279</v>
      </c>
      <c r="BH50" s="62">
        <f t="shared" si="8"/>
        <v>681.06824410252284</v>
      </c>
      <c r="BI50" s="62">
        <f ca="1">AVERAGE(OFFSET($BH$3,0,0,'Données projet'!$E$11+1,1))-AVERAGE(OFFSET($H$3,0,0,'Données projet'!$E$11+1,1))</f>
        <v>316.00112010575197</v>
      </c>
      <c r="BJ50" s="62">
        <f t="shared" si="38"/>
        <v>345.16550310248078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0.10268799496129209</v>
      </c>
      <c r="BS50" s="24">
        <f t="shared" si="9"/>
        <v>0.10268799496129209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79.099999999999994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5.5486080000000007</v>
      </c>
      <c r="D51" s="12">
        <f t="shared" si="32"/>
        <v>2.0946578125566697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7.6700842890919576</v>
      </c>
      <c r="H51" s="70">
        <f t="shared" si="1"/>
        <v>303.3453546235362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15</v>
      </c>
      <c r="N51" s="14">
        <f>IF('Données projet'!$A$36&gt;35,N50+M51-V50,IF(A51&lt;'Données projet'!$A$36,$K$205^A51,IF(A51='Données projet'!$A$36,'Données projet'!$B$36,N50+M51-V50)))</f>
        <v>514.00000000000023</v>
      </c>
      <c r="O51" s="14">
        <f>N51*VLOOKUP('Données projet'!$B$9,Paramètres!$A$1:$I$89,3,0)*VLOOKUP('Données projet'!$B$9,Paramètres!$A$1:$I$89,5,0)</f>
        <v>287.32600000000014</v>
      </c>
      <c r="P51" s="14">
        <f t="shared" si="33"/>
        <v>68.512868389632118</v>
      </c>
      <c r="Q51" s="22">
        <f t="shared" si="53"/>
        <v>619.75269577860945</v>
      </c>
      <c r="R51" s="62">
        <f t="shared" si="0"/>
        <v>946.4526957786095</v>
      </c>
      <c r="S51" s="62">
        <f ca="1">AVERAGE(OFFSET($R$3,0,0,'Données projet'!$E$9+1,1))-AVERAGE(OFFSET($H$3,0,0,'Données projet'!$E$9+1,1))</f>
        <v>358.51982625142648</v>
      </c>
      <c r="T51" s="62">
        <f t="shared" si="34"/>
        <v>432.55677461330856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1.0358507604110949</v>
      </c>
      <c r="AB51" s="23">
        <f>EXP(-LN(2)/2)*AB50+(1-EXP(-LN(2)/2))/(LN(2)/2)*V51*Y51*VLOOKUP('Données projet'!$B$9,Paramètres!$A$1:$I$89,3,0)*0.475*44/12</f>
        <v>4.978649739593756E-2</v>
      </c>
      <c r="AC51" s="24">
        <f t="shared" si="3"/>
        <v>1.0856372578070326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25.333333333333332</v>
      </c>
      <c r="AI51" s="14">
        <f>IF('Données projet'!$A$62&gt;35,AI50+AH51-AQ50,IF(A51&lt;'Données projet'!$A$62,$AF$205^A51,IF(A51='Données projet'!$A$62,'Données projet'!$B$62,AI50+AH51-AQ50)))</f>
        <v>545.33333333333326</v>
      </c>
      <c r="AJ51" s="14">
        <f>AI51*VLOOKUP('Données projet'!$B$10,Paramètres!$A$1:$I$89,3,0)*VLOOKUP('Données projet'!$B$10,Paramètres!$A$1:$I$89,5,0)</f>
        <v>255.21599999999995</v>
      </c>
      <c r="AK51" s="14">
        <f t="shared" si="35"/>
        <v>61.701522895151371</v>
      </c>
      <c r="AL51" s="22">
        <f t="shared" si="4"/>
        <v>551.96468570905517</v>
      </c>
      <c r="AM51" s="62">
        <f t="shared" si="5"/>
        <v>878.66468570905522</v>
      </c>
      <c r="AN51" s="62">
        <f ca="1">AVERAGE(OFFSET($AM$3,0,0,'Données projet'!$E$10+1,1))-AVERAGE(OFFSET($H$3,0,0,'Données projet'!$E$10+1,1))</f>
        <v>264.16738206207805</v>
      </c>
      <c r="AO51" s="62">
        <f t="shared" si="36"/>
        <v>233.21990345647771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4.7567441212255097E-2</v>
      </c>
      <c r="AX51" s="23">
        <f t="shared" si="6"/>
        <v>4.7567441212255097E-2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7.8</v>
      </c>
      <c r="BD51" s="13">
        <f>IF('Données projet'!$A$88&gt;35,BD50+BC51-BL50,IF(A51&lt;'Données projet'!$A$88,$BA$205^A51,IF(A51='Données projet'!$A$88,'Données projet'!$B$88,BD50+BC51-BL50)))</f>
        <v>193.39999999999995</v>
      </c>
      <c r="BE51" s="14">
        <f>BD51*VLOOKUP('Données projet'!$B$11,Paramètres!$A$1:$I$89,3,0)*VLOOKUP('Données projet'!$B$11,Paramètres!$A$1:$I$89,5,0)</f>
        <v>168.95424</v>
      </c>
      <c r="BF51" s="14">
        <f t="shared" si="37"/>
        <v>42.855724087026708</v>
      </c>
      <c r="BG51" s="22">
        <f t="shared" si="7"/>
        <v>368.90235411823818</v>
      </c>
      <c r="BH51" s="62">
        <f t="shared" si="8"/>
        <v>695.60235411823817</v>
      </c>
      <c r="BI51" s="62">
        <f ca="1">AVERAGE(OFFSET($BH$3,0,0,'Données projet'!$E$11+1,1))-AVERAGE(OFFSET($H$3,0,0,'Données projet'!$E$11+1,1))</f>
        <v>316.00112010575197</v>
      </c>
      <c r="BJ51" s="62">
        <f t="shared" si="38"/>
        <v>345.16550310248078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7.2611377583579662E-2</v>
      </c>
      <c r="BS51" s="24">
        <f t="shared" si="9"/>
        <v>7.2611377583579662E-2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79.099999999999994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5.6642040000000007</v>
      </c>
      <c r="D52" s="12">
        <f t="shared" si="32"/>
        <v>2.1331705773301062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7.824733786373371</v>
      </c>
      <c r="H52" s="70">
        <f t="shared" si="1"/>
        <v>303.61376072218326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15</v>
      </c>
      <c r="N52" s="14">
        <f>IF('Données projet'!$A$36&gt;35,N51+M52-V51,IF(A52&lt;'Données projet'!$A$36,$K$205^A52,IF(A52='Données projet'!$A$36,'Données projet'!$B$36,N51+M52-V51)))</f>
        <v>529.00000000000023</v>
      </c>
      <c r="O52" s="14">
        <f>N52*VLOOKUP('Données projet'!$B$9,Paramètres!$A$1:$I$89,3,0)*VLOOKUP('Données projet'!$B$9,Paramètres!$A$1:$I$89,5,0)</f>
        <v>295.71100000000013</v>
      </c>
      <c r="P52" s="14">
        <f t="shared" si="33"/>
        <v>70.276572179571303</v>
      </c>
      <c r="Q52" s="22">
        <f t="shared" si="53"/>
        <v>637.42835487942023</v>
      </c>
      <c r="R52" s="62">
        <f t="shared" si="0"/>
        <v>964.12835487942016</v>
      </c>
      <c r="S52" s="62">
        <f ca="1">AVERAGE(OFFSET($R$3,0,0,'Données projet'!$E$9+1,1))-AVERAGE(OFFSET($H$3,0,0,'Données projet'!$E$9+1,1))</f>
        <v>358.51982625142648</v>
      </c>
      <c r="T52" s="62">
        <f t="shared" si="34"/>
        <v>432.55677461330856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1.0075253668946296</v>
      </c>
      <c r="AB52" s="23">
        <f>EXP(-LN(2)/2)*AB51+(1-EXP(-LN(2)/2))/(LN(2)/2)*V52*Y52*VLOOKUP('Données projet'!$B$9,Paramètres!$A$1:$I$89,3,0)*0.475*44/12</f>
        <v>3.5204369920193837E-2</v>
      </c>
      <c r="AC52" s="24">
        <f t="shared" si="3"/>
        <v>1.0427297368148234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25.333333333333332</v>
      </c>
      <c r="AI52" s="14">
        <f>IF('Données projet'!$A$62&gt;35,AI51+AH52-AQ51,IF(A52&lt;'Données projet'!$A$62,$AF$205^A52,IF(A52='Données projet'!$A$62,'Données projet'!$B$62,AI51+AH52-AQ51)))</f>
        <v>570.66666666666663</v>
      </c>
      <c r="AJ52" s="14">
        <f>AI52*VLOOKUP('Données projet'!$B$10,Paramètres!$A$1:$I$89,3,0)*VLOOKUP('Données projet'!$B$10,Paramètres!$A$1:$I$89,5,0)</f>
        <v>267.07199999999995</v>
      </c>
      <c r="AK52" s="14">
        <f t="shared" si="35"/>
        <v>64.227480006516572</v>
      </c>
      <c r="AL52" s="22">
        <f t="shared" si="4"/>
        <v>577.01326101134964</v>
      </c>
      <c r="AM52" s="62">
        <f t="shared" si="5"/>
        <v>903.71326101134969</v>
      </c>
      <c r="AN52" s="62">
        <f ca="1">AVERAGE(OFFSET($AM$3,0,0,'Données projet'!$E$10+1,1))-AVERAGE(OFFSET($H$3,0,0,'Données projet'!$E$10+1,1))</f>
        <v>264.16738206207805</v>
      </c>
      <c r="AO52" s="62">
        <f t="shared" si="36"/>
        <v>233.21990345647771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3.3635260244878028E-2</v>
      </c>
      <c r="AX52" s="23">
        <f t="shared" si="6"/>
        <v>3.3635260244878028E-2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7.8</v>
      </c>
      <c r="BD52" s="13">
        <f>IF('Données projet'!$A$88&gt;35,BD51+BC52-BL51,IF(A52&lt;'Données projet'!$A$88,$BA$205^A52,IF(A52='Données projet'!$A$88,'Données projet'!$B$88,BD51+BC52-BL51)))</f>
        <v>201.19999999999996</v>
      </c>
      <c r="BE52" s="14">
        <f>BD52*VLOOKUP('Données projet'!$B$11,Paramètres!$A$1:$I$89,3,0)*VLOOKUP('Données projet'!$B$11,Paramètres!$A$1:$I$89,5,0)</f>
        <v>175.76831999999999</v>
      </c>
      <c r="BF52" s="14">
        <f t="shared" si="37"/>
        <v>44.379415757690168</v>
      </c>
      <c r="BG52" s="22">
        <f t="shared" si="7"/>
        <v>383.42397311131032</v>
      </c>
      <c r="BH52" s="62">
        <f t="shared" si="8"/>
        <v>710.12397311131031</v>
      </c>
      <c r="BI52" s="62">
        <f ca="1">AVERAGE(OFFSET($BH$3,0,0,'Données projet'!$E$11+1,1))-AVERAGE(OFFSET($H$3,0,0,'Données projet'!$E$11+1,1))</f>
        <v>316.00112010575197</v>
      </c>
      <c r="BJ52" s="62">
        <f t="shared" si="38"/>
        <v>345.16550310248078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5.1343997480646046E-2</v>
      </c>
      <c r="BS52" s="24">
        <f t="shared" si="9"/>
        <v>5.1343997480646046E-2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79.099999999999994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5.7798000000000007</v>
      </c>
      <c r="D53" s="12">
        <f t="shared" si="32"/>
        <v>2.1715919565110648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7.9792915774111037</v>
      </c>
      <c r="H53" s="70">
        <f t="shared" si="1"/>
        <v>303.88200765759007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544</v>
      </c>
      <c r="L53" s="13">
        <f>VLOOKUP(A53,'Données projet'!$A$35:$I$55,9,0)</f>
        <v>15</v>
      </c>
      <c r="M53" s="13">
        <f t="array" ref="M53">INDEX(L:L,MIN(IF(ISNUMBER(L53:L249),ROW(L53:L249),"")))</f>
        <v>15</v>
      </c>
      <c r="N53" s="14">
        <f>IF('Données projet'!$A$36&gt;35,N52+M53-V52,IF(A53&lt;'Données projet'!$A$36,$K$205^A53,IF(A53='Données projet'!$A$36,'Données projet'!$B$36,N52+M53-V52)))</f>
        <v>544.00000000000023</v>
      </c>
      <c r="O53" s="14">
        <f>N53*VLOOKUP('Données projet'!$B$9,Paramètres!$A$1:$I$89,3,0)*VLOOKUP('Données projet'!$B$9,Paramètres!$A$1:$I$89,5,0)</f>
        <v>304.09600000000012</v>
      </c>
      <c r="P53" s="14">
        <f t="shared" si="33"/>
        <v>72.03446351987327</v>
      </c>
      <c r="Q53" s="22">
        <f t="shared" si="53"/>
        <v>655.09389063044614</v>
      </c>
      <c r="R53" s="62">
        <f t="shared" si="0"/>
        <v>981.79389063044619</v>
      </c>
      <c r="S53" s="62">
        <f ca="1">AVERAGE(OFFSET($R$3,0,0,'Données projet'!$E$9+1,1))-AVERAGE(OFFSET($H$3,0,0,'Données projet'!$E$9+1,1))</f>
        <v>358.51982625142648</v>
      </c>
      <c r="T53" s="62">
        <f t="shared" si="34"/>
        <v>432.55677461330856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0.9799745327534396</v>
      </c>
      <c r="AB53" s="23">
        <f>EXP(-LN(2)/2)*AB52+(1-EXP(-LN(2)/2))/(LN(2)/2)*V53*Y53*VLOOKUP('Données projet'!$B$9,Paramètres!$A$1:$I$89,3,0)*0.475*44/12</f>
        <v>2.489324869796878E-2</v>
      </c>
      <c r="AC53" s="24">
        <f t="shared" si="3"/>
        <v>1.0048677814514084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596</v>
      </c>
      <c r="AG53" s="13">
        <f>VLOOKUP(A53,'Données projet'!$A$61:$I$81,9,0)</f>
        <v>25.333333333333332</v>
      </c>
      <c r="AH53" s="13">
        <f t="array" ref="AH53">INDEX(AG:AG,MIN(IF(ISNUMBER(AG53:AG249),ROW(AG53:AG249),"")))</f>
        <v>25.333333333333332</v>
      </c>
      <c r="AI53" s="14">
        <f>IF('Données projet'!$A$62&gt;35,AI52+AH53-AQ52,IF(A53&lt;'Données projet'!$A$62,$AF$205^A53,IF(A53='Données projet'!$A$62,'Données projet'!$B$62,AI52+AH53-AQ52)))</f>
        <v>596</v>
      </c>
      <c r="AJ53" s="14">
        <f>AI53*VLOOKUP('Données projet'!$B$10,Paramètres!$A$1:$I$89,3,0)*VLOOKUP('Données projet'!$B$10,Paramètres!$A$1:$I$89,5,0)</f>
        <v>278.928</v>
      </c>
      <c r="AK53" s="14">
        <f t="shared" si="35"/>
        <v>66.740413913415367</v>
      </c>
      <c r="AL53" s="22">
        <f t="shared" si="4"/>
        <v>602.0391542325317</v>
      </c>
      <c r="AM53" s="62">
        <f t="shared" si="5"/>
        <v>928.73915423253175</v>
      </c>
      <c r="AN53" s="62">
        <f ca="1">AVERAGE(OFFSET($AM$3,0,0,'Données projet'!$E$10+1,1))-AVERAGE(OFFSET($H$3,0,0,'Données projet'!$E$10+1,1))</f>
        <v>264.16738206207805</v>
      </c>
      <c r="AO53" s="62">
        <f t="shared" si="36"/>
        <v>233.21990345647771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55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2.3783720606127549E-2</v>
      </c>
      <c r="AX53" s="23">
        <f t="shared" si="6"/>
        <v>2.3783720606127549E-2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209</v>
      </c>
      <c r="BB53" s="13">
        <f>VLOOKUP(A53,'Données projet'!$A$87:$I$107,9,0)</f>
        <v>7.8</v>
      </c>
      <c r="BC53" s="13">
        <f t="array" ref="BC53">INDEX(BB:BB,MIN(IF(ISNUMBER(BB53:BB249),ROW(BB53:BB249),"")))</f>
        <v>7.8</v>
      </c>
      <c r="BD53" s="13">
        <f>IF('Données projet'!$A$88&gt;35,BD52+BC53-BL52,IF(A53&lt;'Données projet'!$A$88,$BA$205^A53,IF(A53='Données projet'!$A$88,'Données projet'!$B$88,BD52+BC53-BL52)))</f>
        <v>208.99999999999997</v>
      </c>
      <c r="BE53" s="14">
        <f>BD53*VLOOKUP('Données projet'!$B$11,Paramètres!$A$1:$I$89,3,0)*VLOOKUP('Données projet'!$B$11,Paramètres!$A$1:$I$89,5,0)</f>
        <v>182.58240000000001</v>
      </c>
      <c r="BF53" s="14">
        <f t="shared" si="37"/>
        <v>45.896245406460288</v>
      </c>
      <c r="BG53" s="22">
        <f t="shared" si="7"/>
        <v>397.93364074958498</v>
      </c>
      <c r="BH53" s="62">
        <f t="shared" si="8"/>
        <v>724.63364074958497</v>
      </c>
      <c r="BI53" s="62">
        <f ca="1">AVERAGE(OFFSET($BH$3,0,0,'Données projet'!$E$11+1,1))-AVERAGE(OFFSET($H$3,0,0,'Données projet'!$E$11+1,1))</f>
        <v>316.00112010575197</v>
      </c>
      <c r="BJ53" s="62">
        <f t="shared" si="38"/>
        <v>345.16550310248078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3.6305688791789831E-2</v>
      </c>
      <c r="BS53" s="24">
        <f t="shared" si="9"/>
        <v>3.6305688791789831E-2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79.099999999999994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5.8953960000000007</v>
      </c>
      <c r="D54" s="12">
        <f t="shared" si="32"/>
        <v>2.2099239884580646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8.1337597077158144</v>
      </c>
      <c r="H54" s="70">
        <f t="shared" si="1"/>
        <v>304.15009897989779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12.6</v>
      </c>
      <c r="N54" s="14">
        <f>IF('Données projet'!$A$36&gt;35,N53+M54-V53,IF(A54&lt;'Données projet'!$A$36,$K$205^A54,IF(A54='Données projet'!$A$36,'Données projet'!$B$36,N53+M54-V53)))</f>
        <v>514.60000000000025</v>
      </c>
      <c r="O54" s="14">
        <f>N54*VLOOKUP('Données projet'!$B$9,Paramètres!$A$1:$I$89,3,0)*VLOOKUP('Données projet'!$B$9,Paramètres!$A$1:$I$89,5,0)</f>
        <v>287.66140000000013</v>
      </c>
      <c r="P54" s="14">
        <f t="shared" si="33"/>
        <v>68.583530482412016</v>
      </c>
      <c r="Q54" s="22">
        <f t="shared" si="53"/>
        <v>620.45992059020114</v>
      </c>
      <c r="R54" s="62">
        <f t="shared" si="0"/>
        <v>947.15992059020118</v>
      </c>
      <c r="S54" s="62">
        <f ca="1">AVERAGE(OFFSET($R$3,0,0,'Données projet'!$E$9+1,1))-AVERAGE(OFFSET($H$3,0,0,'Données projet'!$E$9+1,1))</f>
        <v>358.51982625142648</v>
      </c>
      <c r="T54" s="62">
        <f t="shared" si="34"/>
        <v>432.55677461330856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0.95317707762067583</v>
      </c>
      <c r="AB54" s="23">
        <f>EXP(-LN(2)/2)*AB53+(1-EXP(-LN(2)/2))/(LN(2)/2)*V54*Y54*VLOOKUP('Données projet'!$B$9,Paramètres!$A$1:$I$89,3,0)*0.475*44/12</f>
        <v>1.7602184960096919E-2</v>
      </c>
      <c r="AC54" s="24">
        <f t="shared" si="3"/>
        <v>0.97077926258077274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20.166666666666668</v>
      </c>
      <c r="AI54" s="14">
        <f>IF('Données projet'!$A$62&gt;35,AI53+AH54-AQ53,IF(A54&lt;'Données projet'!$A$62,$AF$205^A54,IF(A54='Données projet'!$A$62,'Données projet'!$B$62,AI53+AH54-AQ53)))</f>
        <v>561.16666666666663</v>
      </c>
      <c r="AJ54" s="14">
        <f>AI54*VLOOKUP('Données projet'!$B$10,Paramètres!$A$1:$I$89,3,0)*VLOOKUP('Données projet'!$B$10,Paramètres!$A$1:$I$89,5,0)</f>
        <v>262.62599999999998</v>
      </c>
      <c r="AK54" s="14">
        <f t="shared" si="35"/>
        <v>63.281807230823453</v>
      </c>
      <c r="AL54" s="22">
        <f t="shared" si="4"/>
        <v>567.62276426035078</v>
      </c>
      <c r="AM54" s="62">
        <f t="shared" si="5"/>
        <v>894.32276426035082</v>
      </c>
      <c r="AN54" s="62">
        <f ca="1">AVERAGE(OFFSET($AM$3,0,0,'Données projet'!$E$10+1,1))-AVERAGE(OFFSET($H$3,0,0,'Données projet'!$E$10+1,1))</f>
        <v>264.16738206207805</v>
      </c>
      <c r="AO54" s="62">
        <f t="shared" si="36"/>
        <v>233.21990345647771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1.6817630122439014E-2</v>
      </c>
      <c r="AX54" s="23">
        <f t="shared" si="6"/>
        <v>1.6817630122439014E-2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6.8</v>
      </c>
      <c r="BD54" s="13">
        <f>IF('Données projet'!$A$88&gt;35,BD53+BC54-BL53,IF(A54&lt;'Données projet'!$A$88,$BA$205^A54,IF(A54='Données projet'!$A$88,'Données projet'!$B$88,BD53+BC54-BL53)))</f>
        <v>187.79999999999998</v>
      </c>
      <c r="BE54" s="14">
        <f>BD54*VLOOKUP('Données projet'!$B$11,Paramètres!$A$1:$I$89,3,0)*VLOOKUP('Données projet'!$B$11,Paramètres!$A$1:$I$89,5,0)</f>
        <v>164.06208000000001</v>
      </c>
      <c r="BF54" s="14">
        <f t="shared" si="37"/>
        <v>41.75738773013461</v>
      </c>
      <c r="BG54" s="22">
        <f t="shared" si="7"/>
        <v>358.46890629665108</v>
      </c>
      <c r="BH54" s="62">
        <f t="shared" si="8"/>
        <v>685.16890629665113</v>
      </c>
      <c r="BI54" s="62">
        <f ca="1">AVERAGE(OFFSET($BH$3,0,0,'Données projet'!$E$11+1,1))-AVERAGE(OFFSET($H$3,0,0,'Données projet'!$E$11+1,1))</f>
        <v>316.00112010575197</v>
      </c>
      <c r="BJ54" s="62">
        <f t="shared" si="38"/>
        <v>345.16550310248078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2.5671998740323023E-2</v>
      </c>
      <c r="BS54" s="24">
        <f t="shared" si="9"/>
        <v>2.5671998740323023E-2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79.099999999999994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6.0109920000000008</v>
      </c>
      <c r="D55" s="12">
        <f t="shared" si="32"/>
        <v>2.2481686270219639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8.2881401379939721</v>
      </c>
      <c r="H55" s="70">
        <f t="shared" si="1"/>
        <v>304.41803809206323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12.6</v>
      </c>
      <c r="N55" s="14">
        <f>IF('Données projet'!$A$36&gt;35,N54+M55-V54,IF(A55&lt;'Données projet'!$A$36,$K$205^A55,IF(A55='Données projet'!$A$36,'Données projet'!$B$36,N54+M55-V54)))</f>
        <v>527.20000000000027</v>
      </c>
      <c r="O55" s="14">
        <f>N55*VLOOKUP('Données projet'!$B$9,Paramètres!$A$1:$I$89,3,0)*VLOOKUP('Données projet'!$B$9,Paramètres!$A$1:$I$89,5,0)</f>
        <v>294.70480000000015</v>
      </c>
      <c r="P55" s="14">
        <f t="shared" si="33"/>
        <v>70.065238256033226</v>
      </c>
      <c r="Q55" s="22">
        <f t="shared" si="53"/>
        <v>635.30781662925813</v>
      </c>
      <c r="R55" s="62">
        <f t="shared" si="0"/>
        <v>962.00781662925806</v>
      </c>
      <c r="S55" s="62">
        <f ca="1">AVERAGE(OFFSET($R$3,0,0,'Données projet'!$E$9+1,1))-AVERAGE(OFFSET($H$3,0,0,'Données projet'!$E$9+1,1))</f>
        <v>358.51982625142648</v>
      </c>
      <c r="T55" s="62">
        <f t="shared" si="34"/>
        <v>432.55677461330856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0.92711240030773445</v>
      </c>
      <c r="AB55" s="23">
        <f>EXP(-LN(2)/2)*AB54+(1-EXP(-LN(2)/2))/(LN(2)/2)*V55*Y55*VLOOKUP('Données projet'!$B$9,Paramètres!$A$1:$I$89,3,0)*0.475*44/12</f>
        <v>1.244662434898439E-2</v>
      </c>
      <c r="AC55" s="24">
        <f t="shared" si="3"/>
        <v>0.93955902465671881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20.166666666666668</v>
      </c>
      <c r="AI55" s="14">
        <f>IF('Données projet'!$A$62&gt;35,AI54+AH55-AQ54,IF(A55&lt;'Données projet'!$A$62,$AF$205^A55,IF(A55='Données projet'!$A$62,'Données projet'!$B$62,AI54+AH55-AQ54)))</f>
        <v>581.33333333333326</v>
      </c>
      <c r="AJ55" s="14">
        <f>AI55*VLOOKUP('Données projet'!$B$10,Paramètres!$A$1:$I$89,3,0)*VLOOKUP('Données projet'!$B$10,Paramètres!$A$1:$I$89,5,0)</f>
        <v>272.06399999999996</v>
      </c>
      <c r="AK55" s="14">
        <f t="shared" si="35"/>
        <v>65.287107848113664</v>
      </c>
      <c r="AL55" s="22">
        <f t="shared" si="4"/>
        <v>587.55317950213123</v>
      </c>
      <c r="AM55" s="62">
        <f t="shared" si="5"/>
        <v>914.25317950213116</v>
      </c>
      <c r="AN55" s="62">
        <f ca="1">AVERAGE(OFFSET($AM$3,0,0,'Données projet'!$E$10+1,1))-AVERAGE(OFFSET($H$3,0,0,'Données projet'!$E$10+1,1))</f>
        <v>264.16738206207805</v>
      </c>
      <c r="AO55" s="62">
        <f t="shared" si="36"/>
        <v>233.21990345647771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1.1891860303063774E-2</v>
      </c>
      <c r="AX55" s="23">
        <f t="shared" si="6"/>
        <v>1.1891860303063774E-2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6.8</v>
      </c>
      <c r="BD55" s="13">
        <f>IF('Données projet'!$A$88&gt;35,BD54+BC55-BL54,IF(A55&lt;'Données projet'!$A$88,$BA$205^A55,IF(A55='Données projet'!$A$88,'Données projet'!$B$88,BD54+BC55-BL54)))</f>
        <v>194.6</v>
      </c>
      <c r="BE55" s="14">
        <f>BD55*VLOOKUP('Données projet'!$B$11,Paramètres!$A$1:$I$89,3,0)*VLOOKUP('Données projet'!$B$11,Paramètres!$A$1:$I$89,5,0)</f>
        <v>170.00256000000002</v>
      </c>
      <c r="BF55" s="14">
        <f t="shared" si="37"/>
        <v>43.090596939649579</v>
      </c>
      <c r="BG55" s="22">
        <f t="shared" si="7"/>
        <v>371.1372483365563</v>
      </c>
      <c r="BH55" s="62">
        <f t="shared" si="8"/>
        <v>697.83724833655629</v>
      </c>
      <c r="BI55" s="62">
        <f ca="1">AVERAGE(OFFSET($BH$3,0,0,'Données projet'!$E$11+1,1))-AVERAGE(OFFSET($H$3,0,0,'Données projet'!$E$11+1,1))</f>
        <v>316.00112010575197</v>
      </c>
      <c r="BJ55" s="62">
        <f t="shared" si="38"/>
        <v>345.16550310248078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1.8152844395894915E-2</v>
      </c>
      <c r="BS55" s="24">
        <f t="shared" si="9"/>
        <v>1.8152844395894915E-2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79.099999999999994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6.1265880000000008</v>
      </c>
      <c r="D56" s="12">
        <f t="shared" si="32"/>
        <v>2.2863277466061489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8.4424347492258196</v>
      </c>
      <c r="H56" s="70">
        <f t="shared" si="1"/>
        <v>304.68582825867236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12.6</v>
      </c>
      <c r="N56" s="14">
        <f>IF('Données projet'!$A$36&gt;35,N55+M56-V55,IF(A56&lt;'Données projet'!$A$36,$K$205^A56,IF(A56='Données projet'!$A$36,'Données projet'!$B$36,N55+M56-V55)))</f>
        <v>539.8000000000003</v>
      </c>
      <c r="O56" s="14">
        <f>N56*VLOOKUP('Données projet'!$B$9,Paramètres!$A$1:$I$89,3,0)*VLOOKUP('Données projet'!$B$9,Paramètres!$A$1:$I$89,5,0)</f>
        <v>301.74820000000017</v>
      </c>
      <c r="P56" s="14">
        <f t="shared" si="33"/>
        <v>71.542829318170703</v>
      </c>
      <c r="Q56" s="22">
        <f t="shared" si="53"/>
        <v>650.14854272914761</v>
      </c>
      <c r="R56" s="62">
        <f t="shared" si="0"/>
        <v>976.84854272914754</v>
      </c>
      <c r="S56" s="62">
        <f ca="1">AVERAGE(OFFSET($R$3,0,0,'Données projet'!$E$9+1,1))-AVERAGE(OFFSET($H$3,0,0,'Données projet'!$E$9+1,1))</f>
        <v>358.51982625142648</v>
      </c>
      <c r="T56" s="62">
        <f t="shared" si="34"/>
        <v>432.55677461330856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0.90176046296659729</v>
      </c>
      <c r="AB56" s="23">
        <f>EXP(-LN(2)/2)*AB55+(1-EXP(-LN(2)/2))/(LN(2)/2)*V56*Y56*VLOOKUP('Données projet'!$B$9,Paramètres!$A$1:$I$89,3,0)*0.475*44/12</f>
        <v>8.8010924800484593E-3</v>
      </c>
      <c r="AC56" s="24">
        <f t="shared" si="3"/>
        <v>0.91056155544664574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20.166666666666668</v>
      </c>
      <c r="AI56" s="14">
        <f>IF('Données projet'!$A$62&gt;35,AI55+AH56-AQ55,IF(A56&lt;'Données projet'!$A$62,$AF$205^A56,IF(A56='Données projet'!$A$62,'Données projet'!$B$62,AI55+AH56-AQ55)))</f>
        <v>601.49999999999989</v>
      </c>
      <c r="AJ56" s="14">
        <f>AI56*VLOOKUP('Données projet'!$B$10,Paramètres!$A$1:$I$89,3,0)*VLOOKUP('Données projet'!$B$10,Paramètres!$A$1:$I$89,5,0)</f>
        <v>281.50199999999995</v>
      </c>
      <c r="AK56" s="14">
        <f t="shared" si="35"/>
        <v>67.28432575810065</v>
      </c>
      <c r="AL56" s="22">
        <f t="shared" si="4"/>
        <v>607.46951736202516</v>
      </c>
      <c r="AM56" s="62">
        <f t="shared" si="5"/>
        <v>934.16951736202509</v>
      </c>
      <c r="AN56" s="62">
        <f ca="1">AVERAGE(OFFSET($AM$3,0,0,'Données projet'!$E$10+1,1))-AVERAGE(OFFSET($H$3,0,0,'Données projet'!$E$10+1,1))</f>
        <v>264.16738206207805</v>
      </c>
      <c r="AO56" s="62">
        <f t="shared" si="36"/>
        <v>233.21990345647771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8.4088150612195069E-3</v>
      </c>
      <c r="AX56" s="23">
        <f t="shared" si="6"/>
        <v>8.4088150612195069E-3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6.8</v>
      </c>
      <c r="BD56" s="13">
        <f>IF('Données projet'!$A$88&gt;35,BD55+BC56-BL55,IF(A56&lt;'Données projet'!$A$88,$BA$205^A56,IF(A56='Données projet'!$A$88,'Données projet'!$B$88,BD55+BC56-BL55)))</f>
        <v>201.4</v>
      </c>
      <c r="BE56" s="14">
        <f>BD56*VLOOKUP('Données projet'!$B$11,Paramètres!$A$1:$I$89,3,0)*VLOOKUP('Données projet'!$B$11,Paramètres!$A$1:$I$89,5,0)</f>
        <v>175.94304000000002</v>
      </c>
      <c r="BF56" s="14">
        <f t="shared" si="37"/>
        <v>44.418393276556458</v>
      </c>
      <c r="BG56" s="22">
        <f t="shared" si="7"/>
        <v>383.79616295666915</v>
      </c>
      <c r="BH56" s="62">
        <f t="shared" si="8"/>
        <v>710.4961629566692</v>
      </c>
      <c r="BI56" s="62">
        <f ca="1">AVERAGE(OFFSET($BH$3,0,0,'Données projet'!$E$11+1,1))-AVERAGE(OFFSET($H$3,0,0,'Données projet'!$E$11+1,1))</f>
        <v>316.00112010575197</v>
      </c>
      <c r="BJ56" s="62">
        <f t="shared" si="38"/>
        <v>345.16550310248078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1.2835999370161512E-2</v>
      </c>
      <c r="BS56" s="24">
        <f t="shared" si="9"/>
        <v>1.2835999370161512E-2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79.099999999999994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6.2421840000000008</v>
      </c>
      <c r="D57" s="12">
        <f t="shared" si="32"/>
        <v>2.32440314683403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8.5966453473492379</v>
      </c>
      <c r="H57" s="70">
        <f t="shared" si="1"/>
        <v>304.95347261406926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12.6</v>
      </c>
      <c r="N57" s="14">
        <f>IF('Données projet'!$A$36&gt;35,N56+M57-V56,IF(A57&lt;'Données projet'!$A$36,$K$205^A57,IF(A57='Données projet'!$A$36,'Données projet'!$B$36,N56+M57-V56)))</f>
        <v>552.40000000000032</v>
      </c>
      <c r="O57" s="14">
        <f>N57*VLOOKUP('Données projet'!$B$9,Paramètres!$A$1:$I$89,3,0)*VLOOKUP('Données projet'!$B$9,Paramètres!$A$1:$I$89,5,0)</f>
        <v>308.79160000000019</v>
      </c>
      <c r="P57" s="14">
        <f t="shared" si="33"/>
        <v>73.016410820210879</v>
      </c>
      <c r="Q57" s="22">
        <f t="shared" si="53"/>
        <v>664.98228551186753</v>
      </c>
      <c r="R57" s="62">
        <f t="shared" si="0"/>
        <v>991.68228551186758</v>
      </c>
      <c r="S57" s="62">
        <f ca="1">AVERAGE(OFFSET($R$3,0,0,'Données projet'!$E$9+1,1))-AVERAGE(OFFSET($H$3,0,0,'Données projet'!$E$9+1,1))</f>
        <v>358.51982625142648</v>
      </c>
      <c r="T57" s="62">
        <f t="shared" si="34"/>
        <v>432.55677461330856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0.87710177568525394</v>
      </c>
      <c r="AB57" s="23">
        <f>EXP(-LN(2)/2)*AB56+(1-EXP(-LN(2)/2))/(LN(2)/2)*V57*Y57*VLOOKUP('Données projet'!$B$9,Paramètres!$A$1:$I$89,3,0)*0.475*44/12</f>
        <v>6.2233121744921949E-3</v>
      </c>
      <c r="AC57" s="24">
        <f t="shared" si="3"/>
        <v>0.88332508785974617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20.166666666666668</v>
      </c>
      <c r="AI57" s="14">
        <f>IF('Données projet'!$A$62&gt;35,AI56+AH57-AQ56,IF(A57&lt;'Données projet'!$A$62,$AF$205^A57,IF(A57='Données projet'!$A$62,'Données projet'!$B$62,AI56+AH57-AQ56)))</f>
        <v>621.66666666666652</v>
      </c>
      <c r="AJ57" s="14">
        <f>AI57*VLOOKUP('Données projet'!$B$10,Paramètres!$A$1:$I$89,3,0)*VLOOKUP('Données projet'!$B$10,Paramètres!$A$1:$I$89,5,0)</f>
        <v>290.93999999999994</v>
      </c>
      <c r="AK57" s="14">
        <f t="shared" si="35"/>
        <v>69.27376302085473</v>
      </c>
      <c r="AL57" s="22">
        <f t="shared" si="4"/>
        <v>627.37230392798858</v>
      </c>
      <c r="AM57" s="62">
        <f t="shared" si="5"/>
        <v>954.07230392798851</v>
      </c>
      <c r="AN57" s="62">
        <f ca="1">AVERAGE(OFFSET($AM$3,0,0,'Données projet'!$E$10+1,1))-AVERAGE(OFFSET($H$3,0,0,'Données projet'!$E$10+1,1))</f>
        <v>264.16738206207805</v>
      </c>
      <c r="AO57" s="62">
        <f t="shared" si="36"/>
        <v>233.21990345647771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5.9459301515318872E-3</v>
      </c>
      <c r="AX57" s="23">
        <f t="shared" si="6"/>
        <v>5.9459301515318872E-3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6.8</v>
      </c>
      <c r="BD57" s="13">
        <f>IF('Données projet'!$A$88&gt;35,BD56+BC57-BL56,IF(A57&lt;'Données projet'!$A$88,$BA$205^A57,IF(A57='Données projet'!$A$88,'Données projet'!$B$88,BD56+BC57-BL56)))</f>
        <v>208.20000000000002</v>
      </c>
      <c r="BE57" s="14">
        <f>BD57*VLOOKUP('Données projet'!$B$11,Paramètres!$A$1:$I$89,3,0)*VLOOKUP('Données projet'!$B$11,Paramètres!$A$1:$I$89,5,0)</f>
        <v>181.88352000000006</v>
      </c>
      <c r="BF57" s="14">
        <f t="shared" si="37"/>
        <v>45.74098045051349</v>
      </c>
      <c r="BG57" s="22">
        <f t="shared" si="7"/>
        <v>396.44600495131112</v>
      </c>
      <c r="BH57" s="62">
        <f t="shared" si="8"/>
        <v>723.14600495131117</v>
      </c>
      <c r="BI57" s="62">
        <f ca="1">AVERAGE(OFFSET($BH$3,0,0,'Données projet'!$E$11+1,1))-AVERAGE(OFFSET($H$3,0,0,'Données projet'!$E$11+1,1))</f>
        <v>316.00112010575197</v>
      </c>
      <c r="BJ57" s="62">
        <f t="shared" si="38"/>
        <v>345.16550310248078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9.0764221979474577E-3</v>
      </c>
      <c r="BS57" s="24">
        <f t="shared" si="9"/>
        <v>9.0764221979474577E-3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79.099999999999994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6.3577800000000009</v>
      </c>
      <c r="D58" s="12">
        <f t="shared" si="32"/>
        <v>2.3623965568610092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8.7507736675868379</v>
      </c>
      <c r="H58" s="70">
        <f t="shared" si="1"/>
        <v>305.22097416986622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565</v>
      </c>
      <c r="L58" s="13">
        <f>VLOOKUP(A58,'Données projet'!$A$35:$I$55,9,0)</f>
        <v>12.6</v>
      </c>
      <c r="M58" s="13">
        <f t="array" ref="M58">INDEX(L:L,MIN(IF(ISNUMBER(L58:L254),ROW(L58:L254),"")))</f>
        <v>12.6</v>
      </c>
      <c r="N58" s="14">
        <f>IF('Données projet'!$A$36&gt;35,N57+M58-V57,IF(A58&lt;'Données projet'!$A$36,$K$205^A58,IF(A58='Données projet'!$A$36,'Données projet'!$B$36,N57+M58-V57)))</f>
        <v>565.00000000000034</v>
      </c>
      <c r="O58" s="14">
        <f>N58*VLOOKUP('Données projet'!$B$9,Paramètres!$A$1:$I$89,3,0)*VLOOKUP('Données projet'!$B$9,Paramètres!$A$1:$I$89,5,0)</f>
        <v>315.83500000000021</v>
      </c>
      <c r="P58" s="14">
        <f t="shared" si="33"/>
        <v>74.486084746410782</v>
      </c>
      <c r="Q58" s="22">
        <f t="shared" si="53"/>
        <v>679.80922259999909</v>
      </c>
      <c r="R58" s="62">
        <f t="shared" si="0"/>
        <v>1006.509222599999</v>
      </c>
      <c r="S58" s="62">
        <f ca="1">AVERAGE(OFFSET($R$3,0,0,'Données projet'!$E$9+1,1))-AVERAGE(OFFSET($H$3,0,0,'Données projet'!$E$9+1,1))</f>
        <v>358.51982625142648</v>
      </c>
      <c r="T58" s="62">
        <f t="shared" si="34"/>
        <v>432.55677461330856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37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0.85311738150436289</v>
      </c>
      <c r="AB58" s="23">
        <f>EXP(-LN(2)/2)*AB57+(1-EXP(-LN(2)/2))/(LN(2)/2)*V58*Y58*VLOOKUP('Données projet'!$B$9,Paramètres!$A$1:$I$89,3,0)*0.475*44/12</f>
        <v>4.4005462400242296E-3</v>
      </c>
      <c r="AC58" s="24">
        <f t="shared" si="3"/>
        <v>0.85751792774438718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20.166666666666668</v>
      </c>
      <c r="AI58" s="14">
        <f>IF('Données projet'!$A$62&gt;35,AI57+AH58-AQ57,IF(A58&lt;'Données projet'!$A$62,$AF$205^A58,IF(A58='Données projet'!$A$62,'Données projet'!$B$62,AI57+AH58-AQ57)))</f>
        <v>641.83333333333314</v>
      </c>
      <c r="AJ58" s="14">
        <f>AI58*VLOOKUP('Données projet'!$B$10,Paramètres!$A$1:$I$89,3,0)*VLOOKUP('Données projet'!$B$10,Paramètres!$A$1:$I$89,5,0)</f>
        <v>300.37799999999993</v>
      </c>
      <c r="AK58" s="14">
        <f t="shared" si="35"/>
        <v>71.255700986480306</v>
      </c>
      <c r="AL58" s="22">
        <f t="shared" si="4"/>
        <v>647.26202921811966</v>
      </c>
      <c r="AM58" s="62">
        <f t="shared" si="5"/>
        <v>973.9620292181196</v>
      </c>
      <c r="AN58" s="62">
        <f ca="1">AVERAGE(OFFSET($AM$3,0,0,'Données projet'!$E$10+1,1))-AVERAGE(OFFSET($H$3,0,0,'Données projet'!$E$10+1,1))</f>
        <v>264.16738206207805</v>
      </c>
      <c r="AO58" s="62">
        <f t="shared" si="36"/>
        <v>233.21990345647771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4.2044075306097535E-3</v>
      </c>
      <c r="AX58" s="23">
        <f t="shared" si="6"/>
        <v>4.2044075306097535E-3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</v>
      </c>
      <c r="BB58" s="13">
        <f>VLOOKUP(A58,'Données projet'!$A$87:$I$107,9,0)</f>
        <v>6.8</v>
      </c>
      <c r="BC58" s="13">
        <f t="array" ref="BC58">INDEX(BB:BB,MIN(IF(ISNUMBER(BB58:BB254),ROW(BB58:BB254),"")))</f>
        <v>6.8</v>
      </c>
      <c r="BD58" s="13">
        <f>IF('Données projet'!$A$88&gt;35,BD57+BC58-BL57,IF(A58&lt;'Données projet'!$A$88,$BA$205^A58,IF(A58='Données projet'!$A$88,'Données projet'!$B$88,BD57+BC58-BL57)))</f>
        <v>215.00000000000003</v>
      </c>
      <c r="BE58" s="14">
        <f>BD58*VLOOKUP('Données projet'!$B$11,Paramètres!$A$1:$I$89,3,0)*VLOOKUP('Données projet'!$B$11,Paramètres!$A$1:$I$89,5,0)</f>
        <v>187.82400000000007</v>
      </c>
      <c r="BF58" s="14">
        <f t="shared" si="37"/>
        <v>47.05854810918273</v>
      </c>
      <c r="BG58" s="22">
        <f t="shared" si="7"/>
        <v>409.08710462349336</v>
      </c>
      <c r="BH58" s="62">
        <f t="shared" si="8"/>
        <v>735.78710462349341</v>
      </c>
      <c r="BI58" s="62">
        <f ca="1">AVERAGE(OFFSET($BH$3,0,0,'Données projet'!$E$11+1,1))-AVERAGE(OFFSET($H$3,0,0,'Données projet'!$E$11+1,1))</f>
        <v>316.00112010575197</v>
      </c>
      <c r="BJ58" s="62">
        <f t="shared" si="38"/>
        <v>345.16550310248078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6.4179996850807558E-3</v>
      </c>
      <c r="BS58" s="24">
        <f t="shared" si="9"/>
        <v>6.4179996850807558E-3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79.099999999999994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6.4733760000000009</v>
      </c>
      <c r="D59" s="12">
        <f t="shared" si="32"/>
        <v>2.4003096393639818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8.904821378449471</v>
      </c>
      <c r="H59" s="70">
        <f t="shared" si="1"/>
        <v>305.48833582189224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</v>
      </c>
      <c r="N59" s="14">
        <f>IF('Données projet'!$A$36&gt;35,N58+M59-V58,IF(A59&lt;'Données projet'!$A$36,$K$205^A59,IF(A59='Données projet'!$A$36,'Données projet'!$B$36,N58+M59-V58)))</f>
        <v>535.8000000000003</v>
      </c>
      <c r="O59" s="14">
        <f>N59*VLOOKUP('Données projet'!$B$9,Paramètres!$A$1:$I$89,3,0)*VLOOKUP('Données projet'!$B$9,Paramètres!$A$1:$I$89,5,0)</f>
        <v>299.51220000000018</v>
      </c>
      <c r="P59" s="14">
        <f t="shared" si="33"/>
        <v>71.074192175878977</v>
      </c>
      <c r="Q59" s="22">
        <f t="shared" si="53"/>
        <v>645.43796637298954</v>
      </c>
      <c r="R59" s="62">
        <f t="shared" si="0"/>
        <v>972.13796637298947</v>
      </c>
      <c r="S59" s="62">
        <f ca="1">AVERAGE(OFFSET($R$3,0,0,'Données projet'!$E$9+1,1))-AVERAGE(OFFSET($H$3,0,0,'Données projet'!$E$9+1,1))</f>
        <v>358.51982625142648</v>
      </c>
      <c r="T59" s="62">
        <f t="shared" si="34"/>
        <v>432.55677461330856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0.82978884184363277</v>
      </c>
      <c r="AB59" s="23">
        <f>EXP(-LN(2)/2)*AB58+(1-EXP(-LN(2)/2))/(LN(2)/2)*V59*Y59*VLOOKUP('Données projet'!$B$9,Paramètres!$A$1:$I$89,3,0)*0.475*44/12</f>
        <v>3.1116560872460975E-3</v>
      </c>
      <c r="AC59" s="24">
        <f t="shared" si="3"/>
        <v>0.83290049793087884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662</v>
      </c>
      <c r="AG59" s="13">
        <f>VLOOKUP(A59,'Données projet'!$A$61:$I$81,9,0)</f>
        <v>20.166666666666668</v>
      </c>
      <c r="AH59" s="13">
        <f t="array" ref="AH59">INDEX(AG:AG,MIN(IF(ISNUMBER(AG59:AG255),ROW(AG59:AG255),"")))</f>
        <v>20.166666666666668</v>
      </c>
      <c r="AI59" s="14">
        <f>IF('Données projet'!$A$62&gt;35,AI58+AH59-AQ58,IF(A59&lt;'Données projet'!$A$62,$AF$205^A59,IF(A59='Données projet'!$A$62,'Données projet'!$B$62,AI58+AH59-AQ58)))</f>
        <v>661.99999999999977</v>
      </c>
      <c r="AJ59" s="14">
        <f>AI59*VLOOKUP('Données projet'!$B$10,Paramètres!$A$1:$I$89,3,0)*VLOOKUP('Données projet'!$B$10,Paramètres!$A$1:$I$89,5,0)</f>
        <v>309.81599999999992</v>
      </c>
      <c r="AK59" s="14">
        <f t="shared" si="35"/>
        <v>73.230402320660119</v>
      </c>
      <c r="AL59" s="22">
        <f t="shared" si="4"/>
        <v>667.13915070848282</v>
      </c>
      <c r="AM59" s="62">
        <f t="shared" si="5"/>
        <v>993.83915070848275</v>
      </c>
      <c r="AN59" s="62">
        <f ca="1">AVERAGE(OFFSET($AM$3,0,0,'Données projet'!$E$10+1,1))-AVERAGE(OFFSET($H$3,0,0,'Données projet'!$E$10+1,1))</f>
        <v>264.16738206207805</v>
      </c>
      <c r="AO59" s="62">
        <f t="shared" si="36"/>
        <v>233.21990345647771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662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2.9729650757659436E-3</v>
      </c>
      <c r="AX59" s="23">
        <f t="shared" si="6"/>
        <v>2.9729650757659436E-3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196.00000000000003</v>
      </c>
      <c r="BE59" s="14">
        <f>BD59*VLOOKUP('Données projet'!$B$11,Paramètres!$A$1:$I$89,3,0)*VLOOKUP('Données projet'!$B$11,Paramètres!$A$1:$I$89,5,0)</f>
        <v>171.22560000000004</v>
      </c>
      <c r="BF59" s="14">
        <f t="shared" si="37"/>
        <v>43.364402348589557</v>
      </c>
      <c r="BG59" s="22">
        <f t="shared" si="7"/>
        <v>373.74425409046017</v>
      </c>
      <c r="BH59" s="62">
        <f t="shared" si="8"/>
        <v>700.44425409046016</v>
      </c>
      <c r="BI59" s="62">
        <f ca="1">AVERAGE(OFFSET($BH$3,0,0,'Données projet'!$E$11+1,1))-AVERAGE(OFFSET($H$3,0,0,'Données projet'!$E$11+1,1))</f>
        <v>316.00112010575197</v>
      </c>
      <c r="BJ59" s="62">
        <f t="shared" si="38"/>
        <v>345.16550310248078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4.5382110989737288E-3</v>
      </c>
      <c r="BS59" s="24">
        <f t="shared" si="9"/>
        <v>4.5382110989737288E-3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79.099999999999994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6.5889720000000009</v>
      </c>
      <c r="D60" s="12">
        <f t="shared" si="32"/>
        <v>2.4381439942378065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9.0587900854456596</v>
      </c>
      <c r="H60" s="70">
        <f t="shared" si="1"/>
        <v>305.75556035663084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</v>
      </c>
      <c r="N60" s="14">
        <f>IF('Données projet'!$A$36&gt;35,N59+M60-V59,IF(A60&lt;'Données projet'!$A$36,$K$205^A60,IF(A60='Données projet'!$A$36,'Données projet'!$B$36,N59+M60-V59)))</f>
        <v>543.60000000000025</v>
      </c>
      <c r="O60" s="14">
        <f>N60*VLOOKUP('Données projet'!$B$9,Paramètres!$A$1:$I$89,3,0)*VLOOKUP('Données projet'!$B$9,Paramètres!$A$1:$I$89,5,0)</f>
        <v>303.87240000000014</v>
      </c>
      <c r="P60" s="14">
        <f t="shared" si="33"/>
        <v>71.987660301827333</v>
      </c>
      <c r="Q60" s="22">
        <f t="shared" si="53"/>
        <v>654.62293835901619</v>
      </c>
      <c r="R60" s="62">
        <f t="shared" si="0"/>
        <v>981.32293835901623</v>
      </c>
      <c r="S60" s="62">
        <f ca="1">AVERAGE(OFFSET($R$3,0,0,'Données projet'!$E$9+1,1))-AVERAGE(OFFSET($H$3,0,0,'Données projet'!$E$9+1,1))</f>
        <v>358.51982625142648</v>
      </c>
      <c r="T60" s="62">
        <f t="shared" si="34"/>
        <v>432.55677461330856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0.80709822232671991</v>
      </c>
      <c r="AB60" s="23">
        <f>EXP(-LN(2)/2)*AB59+(1-EXP(-LN(2)/2))/(LN(2)/2)*V60*Y60*VLOOKUP('Données projet'!$B$9,Paramètres!$A$1:$I$89,3,0)*0.475*44/12</f>
        <v>2.2002731200121148E-3</v>
      </c>
      <c r="AC60" s="24">
        <f t="shared" si="3"/>
        <v>0.80929849544673205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-2.2737367544323206E-13</v>
      </c>
      <c r="AJ60" s="14">
        <f>AI60*VLOOKUP('Données projet'!$B$10,Paramètres!$A$1:$I$89,3,0)*VLOOKUP('Données projet'!$B$10,Paramètres!$A$1:$I$89,5,0)</f>
        <v>-1.064108801074326E-13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264.16738206207805</v>
      </c>
      <c r="AO60" s="62">
        <f t="shared" si="36"/>
        <v>233.21990345647771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2.1022037653048767E-3</v>
      </c>
      <c r="AX60" s="23">
        <f t="shared" si="6"/>
        <v>2.1022037653048767E-3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202.00000000000003</v>
      </c>
      <c r="BE60" s="14">
        <f>BD60*VLOOKUP('Données projet'!$B$11,Paramètres!$A$1:$I$89,3,0)*VLOOKUP('Données projet'!$B$11,Paramètres!$A$1:$I$89,5,0)</f>
        <v>176.46720000000005</v>
      </c>
      <c r="BF60" s="14">
        <f t="shared" si="37"/>
        <v>44.535298821989393</v>
      </c>
      <c r="BG60" s="22">
        <f t="shared" si="7"/>
        <v>384.91268544829819</v>
      </c>
      <c r="BH60" s="62">
        <f t="shared" si="8"/>
        <v>711.61268544829818</v>
      </c>
      <c r="BI60" s="62">
        <f ca="1">AVERAGE(OFFSET($BH$3,0,0,'Données projet'!$E$11+1,1))-AVERAGE(OFFSET($H$3,0,0,'Données projet'!$E$11+1,1))</f>
        <v>316.00112010575197</v>
      </c>
      <c r="BJ60" s="62">
        <f t="shared" si="38"/>
        <v>345.16550310248078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3.2089998425403779E-3</v>
      </c>
      <c r="BS60" s="24">
        <f t="shared" si="9"/>
        <v>3.2089998425403779E-3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79.099999999999994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6.704568000000001</v>
      </c>
      <c r="D61" s="12">
        <f t="shared" si="32"/>
        <v>2.4759011620250311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9.2126813345233671</v>
      </c>
      <c r="H61" s="70">
        <f t="shared" si="1"/>
        <v>306.02265045719355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7.8</v>
      </c>
      <c r="N61" s="14">
        <f>IF('Données projet'!$A$36&gt;35,N60+M61-V60,IF(A61&lt;'Données projet'!$A$36,$K$205^A61,IF(A61='Données projet'!$A$36,'Données projet'!$B$36,N60+M61-V60)))</f>
        <v>551.4000000000002</v>
      </c>
      <c r="O61" s="14">
        <f>N61*VLOOKUP('Données projet'!$B$9,Paramètres!$A$1:$I$89,3,0)*VLOOKUP('Données projet'!$B$9,Paramètres!$A$1:$I$89,5,0)</f>
        <v>308.2326000000001</v>
      </c>
      <c r="P61" s="14">
        <f t="shared" si="33"/>
        <v>72.899603972589205</v>
      </c>
      <c r="Q61" s="22">
        <f t="shared" si="53"/>
        <v>663.80525525225971</v>
      </c>
      <c r="R61" s="62">
        <f t="shared" si="0"/>
        <v>990.50525525225976</v>
      </c>
      <c r="S61" s="62">
        <f ca="1">AVERAGE(OFFSET($R$3,0,0,'Données projet'!$E$9+1,1))-AVERAGE(OFFSET($H$3,0,0,'Données projet'!$E$9+1,1))</f>
        <v>358.51982625142648</v>
      </c>
      <c r="T61" s="62">
        <f t="shared" si="34"/>
        <v>432.55677461330856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0.78502807899374494</v>
      </c>
      <c r="AB61" s="23">
        <f>EXP(-LN(2)/2)*AB60+(1-EXP(-LN(2)/2))/(LN(2)/2)*V61*Y61*VLOOKUP('Données projet'!$B$9,Paramètres!$A$1:$I$89,3,0)*0.475*44/12</f>
        <v>1.5558280436230487E-3</v>
      </c>
      <c r="AC61" s="24">
        <f t="shared" si="3"/>
        <v>0.78658390703736802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-2.2737367544323206E-13</v>
      </c>
      <c r="AJ61" s="14">
        <f>AI61*VLOOKUP('Données projet'!$B$10,Paramètres!$A$1:$I$89,3,0)*VLOOKUP('Données projet'!$B$10,Paramètres!$A$1:$I$89,5,0)</f>
        <v>-1.064108801074326E-13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264.16738206207805</v>
      </c>
      <c r="AO61" s="62">
        <f t="shared" si="36"/>
        <v>233.21990345647771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1.4864825378829718E-3</v>
      </c>
      <c r="AX61" s="23">
        <f t="shared" si="6"/>
        <v>1.4864825378829718E-3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208.00000000000003</v>
      </c>
      <c r="BE61" s="14">
        <f>BD61*VLOOKUP('Données projet'!$B$11,Paramètres!$A$1:$I$89,3,0)*VLOOKUP('Données projet'!$B$11,Paramètres!$A$1:$I$89,5,0)</f>
        <v>181.70880000000005</v>
      </c>
      <c r="BF61" s="14">
        <f t="shared" si="37"/>
        <v>45.702153370067812</v>
      </c>
      <c r="BG61" s="22">
        <f t="shared" si="7"/>
        <v>396.07407711953482</v>
      </c>
      <c r="BH61" s="62">
        <f t="shared" si="8"/>
        <v>722.77407711953481</v>
      </c>
      <c r="BI61" s="62">
        <f ca="1">AVERAGE(OFFSET($BH$3,0,0,'Données projet'!$E$11+1,1))-AVERAGE(OFFSET($H$3,0,0,'Données projet'!$E$11+1,1))</f>
        <v>316.00112010575197</v>
      </c>
      <c r="BJ61" s="62">
        <f t="shared" si="38"/>
        <v>345.16550310248078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2.2691055494868644E-3</v>
      </c>
      <c r="BS61" s="24">
        <f t="shared" si="9"/>
        <v>2.2691055494868644E-3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79.099999999999994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6.820164000000001</v>
      </c>
      <c r="D62" s="12">
        <f t="shared" si="32"/>
        <v>2.513582627102382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9.3664966152676552</v>
      </c>
      <c r="H62" s="70">
        <f t="shared" si="1"/>
        <v>306.28960870886993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7.8</v>
      </c>
      <c r="N62" s="14">
        <f>IF('Données projet'!$A$36&gt;35,N61+M62-V61,IF(A62&lt;'Données projet'!$A$36,$K$205^A62,IF(A62='Données projet'!$A$36,'Données projet'!$B$36,N61+M62-V61)))</f>
        <v>559.20000000000016</v>
      </c>
      <c r="O62" s="14">
        <f>N62*VLOOKUP('Données projet'!$B$9,Paramètres!$A$1:$I$89,3,0)*VLOOKUP('Données projet'!$B$9,Paramètres!$A$1:$I$89,5,0)</f>
        <v>312.59280000000012</v>
      </c>
      <c r="P62" s="14">
        <f t="shared" si="33"/>
        <v>73.810047244750066</v>
      </c>
      <c r="Q62" s="22">
        <f t="shared" si="53"/>
        <v>672.98495895127326</v>
      </c>
      <c r="R62" s="62">
        <f t="shared" si="0"/>
        <v>999.6849589512733</v>
      </c>
      <c r="S62" s="62">
        <f ca="1">AVERAGE(OFFSET($R$3,0,0,'Données projet'!$E$9+1,1))-AVERAGE(OFFSET($H$3,0,0,'Données projet'!$E$9+1,1))</f>
        <v>358.51982625142648</v>
      </c>
      <c r="T62" s="62">
        <f t="shared" si="34"/>
        <v>432.55677461330856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0.76356144489082856</v>
      </c>
      <c r="AB62" s="23">
        <f>EXP(-LN(2)/2)*AB61+(1-EXP(-LN(2)/2))/(LN(2)/2)*V62*Y62*VLOOKUP('Données projet'!$B$9,Paramètres!$A$1:$I$89,3,0)*0.475*44/12</f>
        <v>1.1001365600060574E-3</v>
      </c>
      <c r="AC62" s="24">
        <f t="shared" si="3"/>
        <v>0.76466158145083463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-2.2737367544323206E-13</v>
      </c>
      <c r="AJ62" s="14">
        <f>AI62*VLOOKUP('Données projet'!$B$10,Paramètres!$A$1:$I$89,3,0)*VLOOKUP('Données projet'!$B$10,Paramètres!$A$1:$I$89,5,0)</f>
        <v>-1.064108801074326E-13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264.16738206207805</v>
      </c>
      <c r="AO62" s="62">
        <f t="shared" si="36"/>
        <v>233.21990345647771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1.0511018826524384E-3</v>
      </c>
      <c r="AX62" s="23">
        <f t="shared" si="6"/>
        <v>1.0511018826524384E-3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214.00000000000003</v>
      </c>
      <c r="BE62" s="14">
        <f>BD62*VLOOKUP('Données projet'!$B$11,Paramètres!$A$1:$I$89,3,0)*VLOOKUP('Données projet'!$B$11,Paramètres!$A$1:$I$89,5,0)</f>
        <v>186.95040000000006</v>
      </c>
      <c r="BF62" s="14">
        <f t="shared" si="37"/>
        <v>46.865095976617653</v>
      </c>
      <c r="BG62" s="22">
        <f t="shared" si="7"/>
        <v>407.22865549260922</v>
      </c>
      <c r="BH62" s="62">
        <f t="shared" si="8"/>
        <v>733.92865549260921</v>
      </c>
      <c r="BI62" s="62">
        <f ca="1">AVERAGE(OFFSET($BH$3,0,0,'Données projet'!$E$11+1,1))-AVERAGE(OFFSET($H$3,0,0,'Données projet'!$E$11+1,1))</f>
        <v>316.00112010575197</v>
      </c>
      <c r="BJ62" s="62">
        <f t="shared" si="38"/>
        <v>345.16550310248078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1.6044999212701889E-3</v>
      </c>
      <c r="BS62" s="24">
        <f t="shared" si="9"/>
        <v>1.6044999212701889E-3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79.099999999999994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6.935760000000001</v>
      </c>
      <c r="D63" s="12">
        <f t="shared" si="32"/>
        <v>2.5511898206451034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9.5202373638754398</v>
      </c>
      <c r="H63" s="70">
        <f t="shared" si="1"/>
        <v>306.55643760429018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567</v>
      </c>
      <c r="L63" s="13">
        <f>VLOOKUP(A63,'Données projet'!$A$35:$I$55,9,0)</f>
        <v>7.8</v>
      </c>
      <c r="M63" s="13">
        <f t="array" ref="M63">INDEX(L:L,MIN(IF(ISNUMBER(L63:L259),ROW(L63:L259),"")))</f>
        <v>7.8</v>
      </c>
      <c r="N63" s="14">
        <f>IF('Données projet'!$A$36&gt;35,N62+M63-V62,IF(A63&lt;'Données projet'!$A$36,$K$205^A63,IF(A63='Données projet'!$A$36,'Données projet'!$B$36,N62+M63-V62)))</f>
        <v>567.00000000000011</v>
      </c>
      <c r="O63" s="14">
        <f>N63*VLOOKUP('Données projet'!$B$9,Paramètres!$A$1:$I$89,3,0)*VLOOKUP('Données projet'!$B$9,Paramètres!$A$1:$I$89,5,0)</f>
        <v>316.95300000000009</v>
      </c>
      <c r="P63" s="14">
        <f t="shared" si="33"/>
        <v>74.719013465238191</v>
      </c>
      <c r="Q63" s="22">
        <f t="shared" si="53"/>
        <v>682.16209011862327</v>
      </c>
      <c r="R63" s="62">
        <f t="shared" si="0"/>
        <v>1008.8620901186232</v>
      </c>
      <c r="S63" s="62">
        <f ca="1">AVERAGE(OFFSET($R$3,0,0,'Données projet'!$E$9+1,1))-AVERAGE(OFFSET($H$3,0,0,'Données projet'!$E$9+1,1))</f>
        <v>358.51982625142648</v>
      </c>
      <c r="T63" s="62">
        <f t="shared" si="34"/>
        <v>432.55677461330856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567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0.74268181702633762</v>
      </c>
      <c r="AB63" s="23">
        <f>EXP(-LN(2)/2)*AB62+(1-EXP(-LN(2)/2))/(LN(2)/2)*V63*Y63*VLOOKUP('Données projet'!$B$9,Paramètres!$A$1:$I$89,3,0)*0.475*44/12</f>
        <v>7.7791402181152437E-4</v>
      </c>
      <c r="AC63" s="24">
        <f t="shared" si="3"/>
        <v>0.74345973104814911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-2.2737367544323206E-13</v>
      </c>
      <c r="AJ63" s="14">
        <f>AI63*VLOOKUP('Données projet'!$B$10,Paramètres!$A$1:$I$89,3,0)*VLOOKUP('Données projet'!$B$10,Paramètres!$A$1:$I$89,5,0)</f>
        <v>-1.064108801074326E-13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264.16738206207805</v>
      </c>
      <c r="AO63" s="62">
        <f t="shared" si="36"/>
        <v>233.21990345647771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7.432412689414859E-4</v>
      </c>
      <c r="AX63" s="23">
        <f t="shared" si="6"/>
        <v>7.432412689414859E-4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220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220.00000000000003</v>
      </c>
      <c r="BE63" s="14">
        <f>BD63*VLOOKUP('Données projet'!$B$11,Paramètres!$A$1:$I$89,3,0)*VLOOKUP('Données projet'!$B$11,Paramètres!$A$1:$I$89,5,0)</f>
        <v>192.19200000000006</v>
      </c>
      <c r="BF63" s="14">
        <f t="shared" si="37"/>
        <v>48.02424892193244</v>
      </c>
      <c r="BG63" s="22">
        <f t="shared" si="7"/>
        <v>418.37663353903241</v>
      </c>
      <c r="BH63" s="62">
        <f t="shared" si="8"/>
        <v>745.0766335390324</v>
      </c>
      <c r="BI63" s="62">
        <f ca="1">AVERAGE(OFFSET($BH$3,0,0,'Données projet'!$E$11+1,1))-AVERAGE(OFFSET($H$3,0,0,'Données projet'!$E$11+1,1))</f>
        <v>316.00112010575197</v>
      </c>
      <c r="BJ63" s="62">
        <f t="shared" si="38"/>
        <v>345.16550310248078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1.1345527747434322E-3</v>
      </c>
      <c r="BS63" s="24">
        <f t="shared" si="9"/>
        <v>1.1345527747434322E-3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79.099999999999994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7.0513560000000011</v>
      </c>
      <c r="D64" s="12">
        <f t="shared" si="32"/>
        <v>2.5887241233880758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9.6739049659262832</v>
      </c>
      <c r="H64" s="70">
        <f t="shared" si="1"/>
        <v>306.82313954823422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6.3550942286383367E-14</v>
      </c>
      <c r="P64" s="14">
        <f t="shared" si="33"/>
        <v>1.0064464192543978E-12</v>
      </c>
      <c r="Q64" s="22">
        <f t="shared" si="53"/>
        <v>1.8635787380168604E-12</v>
      </c>
      <c r="R64" s="62">
        <f t="shared" si="0"/>
        <v>326.70000000000186</v>
      </c>
      <c r="S64" s="62">
        <f ca="1">AVERAGE(OFFSET($R$3,0,0,'Données projet'!$E$9+1,1))-AVERAGE(OFFSET($H$3,0,0,'Données projet'!$E$9+1,1))</f>
        <v>358.51982625142648</v>
      </c>
      <c r="T64" s="62">
        <f t="shared" si="34"/>
        <v>432.55677461330856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0.72237314368381311</v>
      </c>
      <c r="AB64" s="23">
        <f>EXP(-LN(2)/2)*AB63+(1-EXP(-LN(2)/2))/(LN(2)/2)*V64*Y64*VLOOKUP('Données projet'!$B$9,Paramètres!$A$1:$I$89,3,0)*0.475*44/12</f>
        <v>5.500682800030287E-4</v>
      </c>
      <c r="AC64" s="24">
        <f t="shared" si="3"/>
        <v>0.72292321196381615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-1.064108801074326E-13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264.16738206207805</v>
      </c>
      <c r="AO64" s="62">
        <f t="shared" si="36"/>
        <v>233.21990345647771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5.2555094132621918E-4</v>
      </c>
      <c r="AX64" s="23">
        <f t="shared" si="6"/>
        <v>5.2555094132621918E-4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203.20000000000002</v>
      </c>
      <c r="BE64" s="14">
        <f>BD64*VLOOKUP('Données projet'!$B$11,Paramètres!$A$1:$I$89,3,0)*VLOOKUP('Données projet'!$B$11,Paramètres!$A$1:$I$89,5,0)</f>
        <v>177.51552000000004</v>
      </c>
      <c r="BF64" s="14">
        <f t="shared" si="37"/>
        <v>44.768988809542904</v>
      </c>
      <c r="BG64" s="22">
        <f t="shared" si="7"/>
        <v>387.145519509954</v>
      </c>
      <c r="BH64" s="62">
        <f t="shared" si="8"/>
        <v>713.84551950995399</v>
      </c>
      <c r="BI64" s="62">
        <f ca="1">AVERAGE(OFFSET($BH$3,0,0,'Données projet'!$E$11+1,1))-AVERAGE(OFFSET($H$3,0,0,'Données projet'!$E$11+1,1))</f>
        <v>316.00112010575197</v>
      </c>
      <c r="BJ64" s="62">
        <f t="shared" si="38"/>
        <v>345.16550310248078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8.0224996063509447E-4</v>
      </c>
      <c r="BS64" s="24">
        <f t="shared" si="9"/>
        <v>8.0224996063509447E-4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79.099999999999994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7.1669520000000011</v>
      </c>
      <c r="D65" s="12">
        <f t="shared" si="32"/>
        <v>2.6261868682007363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9.8275007589663534</v>
      </c>
      <c r="H65" s="70">
        <f t="shared" si="1"/>
        <v>307.08971686211623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6.3550942286383367E-14</v>
      </c>
      <c r="P65" s="14">
        <f t="shared" si="33"/>
        <v>1.0064464192543978E-12</v>
      </c>
      <c r="Q65" s="22">
        <f t="shared" si="53"/>
        <v>1.8635787380168604E-12</v>
      </c>
      <c r="R65" s="62">
        <f t="shared" si="0"/>
        <v>326.70000000000186</v>
      </c>
      <c r="S65" s="62">
        <f ca="1">AVERAGE(OFFSET($R$3,0,0,'Données projet'!$E$9+1,1))-AVERAGE(OFFSET($H$3,0,0,'Données projet'!$E$9+1,1))</f>
        <v>358.51982625142648</v>
      </c>
      <c r="T65" s="62">
        <f t="shared" si="34"/>
        <v>432.55677461330856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0.70261981208182667</v>
      </c>
      <c r="AB65" s="23">
        <f>EXP(-LN(2)/2)*AB64+(1-EXP(-LN(2)/2))/(LN(2)/2)*V65*Y65*VLOOKUP('Données projet'!$B$9,Paramètres!$A$1:$I$89,3,0)*0.475*44/12</f>
        <v>3.8895701090576218E-4</v>
      </c>
      <c r="AC65" s="24">
        <f t="shared" si="3"/>
        <v>0.70300876909273247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-1.064108801074326E-13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264.16738206207805</v>
      </c>
      <c r="AO65" s="62">
        <f t="shared" si="36"/>
        <v>233.21990345647771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3.7162063447074295E-4</v>
      </c>
      <c r="AX65" s="23">
        <f t="shared" si="6"/>
        <v>3.7162063447074295E-4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208.4</v>
      </c>
      <c r="BE65" s="14">
        <f>BD65*VLOOKUP('Données projet'!$B$11,Paramètres!$A$1:$I$89,3,0)*VLOOKUP('Données projet'!$B$11,Paramètres!$A$1:$I$89,5,0)</f>
        <v>182.05824000000001</v>
      </c>
      <c r="BF65" s="14">
        <f t="shared" si="37"/>
        <v>45.779803189729343</v>
      </c>
      <c r="BG65" s="22">
        <f t="shared" si="7"/>
        <v>396.81792522211191</v>
      </c>
      <c r="BH65" s="62">
        <f t="shared" si="8"/>
        <v>723.5179252221119</v>
      </c>
      <c r="BI65" s="62">
        <f ca="1">AVERAGE(OFFSET($BH$3,0,0,'Données projet'!$E$11+1,1))-AVERAGE(OFFSET($H$3,0,0,'Données projet'!$E$11+1,1))</f>
        <v>316.00112010575197</v>
      </c>
      <c r="BJ65" s="62">
        <f t="shared" si="38"/>
        <v>345.16550310248078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5.6727638737171611E-4</v>
      </c>
      <c r="BS65" s="24">
        <f t="shared" si="9"/>
        <v>5.6727638737171611E-4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79.099999999999994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7.2825480000000011</v>
      </c>
      <c r="D66" s="12">
        <f t="shared" si="32"/>
        <v>2.663579342491174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9.9810260349209692</v>
      </c>
      <c r="H66" s="70">
        <f t="shared" si="1"/>
        <v>307.35617178817211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6.3550942286383367E-14</v>
      </c>
      <c r="P66" s="14">
        <f t="shared" si="33"/>
        <v>1.0064464192543978E-12</v>
      </c>
      <c r="Q66" s="22">
        <f t="shared" si="53"/>
        <v>1.8635787380168604E-12</v>
      </c>
      <c r="R66" s="62">
        <f t="shared" si="0"/>
        <v>326.70000000000186</v>
      </c>
      <c r="S66" s="62">
        <f ca="1">AVERAGE(OFFSET($R$3,0,0,'Données projet'!$E$9+1,1))-AVERAGE(OFFSET($H$3,0,0,'Données projet'!$E$9+1,1))</f>
        <v>358.51982625142648</v>
      </c>
      <c r="T66" s="62">
        <f t="shared" si="34"/>
        <v>432.55677461330856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0.68340663637127907</v>
      </c>
      <c r="AB66" s="23">
        <f>EXP(-LN(2)/2)*AB65+(1-EXP(-LN(2)/2))/(LN(2)/2)*V66*Y66*VLOOKUP('Données projet'!$B$9,Paramètres!$A$1:$I$89,3,0)*0.475*44/12</f>
        <v>2.7503414000151435E-4</v>
      </c>
      <c r="AC66" s="24">
        <f t="shared" si="3"/>
        <v>0.68368167051128059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-1.064108801074326E-13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264.16738206207805</v>
      </c>
      <c r="AO66" s="62">
        <f t="shared" si="36"/>
        <v>233.21990345647771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2.6277547066310959E-4</v>
      </c>
      <c r="AX66" s="23">
        <f t="shared" si="6"/>
        <v>2.6277547066310959E-4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213.6</v>
      </c>
      <c r="BE66" s="14">
        <f>BD66*VLOOKUP('Données projet'!$B$11,Paramètres!$A$1:$I$89,3,0)*VLOOKUP('Données projet'!$B$11,Paramètres!$A$1:$I$89,5,0)</f>
        <v>186.60096000000001</v>
      </c>
      <c r="BF66" s="14">
        <f t="shared" si="37"/>
        <v>46.787685683664144</v>
      </c>
      <c r="BG66" s="22">
        <f t="shared" si="7"/>
        <v>406.48522456571504</v>
      </c>
      <c r="BH66" s="62">
        <f t="shared" si="8"/>
        <v>733.18522456571509</v>
      </c>
      <c r="BI66" s="62">
        <f ca="1">AVERAGE(OFFSET($BH$3,0,0,'Données projet'!$E$11+1,1))-AVERAGE(OFFSET($H$3,0,0,'Données projet'!$E$11+1,1))</f>
        <v>316.00112010575197</v>
      </c>
      <c r="BJ66" s="62">
        <f t="shared" si="38"/>
        <v>345.16550310248078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4.0112498031754724E-4</v>
      </c>
      <c r="BS66" s="24">
        <f t="shared" si="9"/>
        <v>4.0112498031754724E-4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79.099999999999994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7.3981440000000012</v>
      </c>
      <c r="D67" s="12">
        <f t="shared" si="32"/>
        <v>2.7009027904532474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10.134482042349577</v>
      </c>
      <c r="H67" s="70">
        <f t="shared" si="1"/>
        <v>307.62250649337273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6.3550942286383367E-14</v>
      </c>
      <c r="P67" s="14">
        <f t="shared" si="33"/>
        <v>1.0064464192543978E-12</v>
      </c>
      <c r="Q67" s="22">
        <f t="shared" ref="Q67:Q98" si="54">(O67+P67)*0.475*44/12</f>
        <v>1.8635787380168604E-12</v>
      </c>
      <c r="R67" s="62">
        <f t="shared" ref="R67:R130" si="55">Q67+(I67+J67)*44/12</f>
        <v>326.70000000000186</v>
      </c>
      <c r="S67" s="62">
        <f ca="1">AVERAGE(OFFSET($R$3,0,0,'Données projet'!$E$9+1,1))-AVERAGE(OFFSET($H$3,0,0,'Données projet'!$E$9+1,1))</f>
        <v>358.51982625142648</v>
      </c>
      <c r="T67" s="62">
        <f t="shared" si="34"/>
        <v>432.55677461330856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0.66471884596091335</v>
      </c>
      <c r="AB67" s="23">
        <f>EXP(-LN(2)/2)*AB66+(1-EXP(-LN(2)/2))/(LN(2)/2)*V67*Y67*VLOOKUP('Données projet'!$B$9,Paramètres!$A$1:$I$89,3,0)*0.475*44/12</f>
        <v>1.9447850545288109E-4</v>
      </c>
      <c r="AC67" s="24">
        <f t="shared" si="3"/>
        <v>0.6649133244663662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-1.064108801074326E-13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264.16738206207805</v>
      </c>
      <c r="AO67" s="62">
        <f t="shared" si="36"/>
        <v>233.21990345647771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1.8581031723537147E-4</v>
      </c>
      <c r="AX67" s="23">
        <f t="shared" si="6"/>
        <v>1.8581031723537147E-4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218.79999999999998</v>
      </c>
      <c r="BE67" s="14">
        <f>BD67*VLOOKUP('Données projet'!$B$11,Paramètres!$A$1:$I$89,3,0)*VLOOKUP('Données projet'!$B$11,Paramètres!$A$1:$I$89,5,0)</f>
        <v>191.14368000000002</v>
      </c>
      <c r="BF67" s="14">
        <f t="shared" si="37"/>
        <v>47.792715878069586</v>
      </c>
      <c r="BG67" s="22">
        <f t="shared" si="7"/>
        <v>416.14755615430454</v>
      </c>
      <c r="BH67" s="62">
        <f t="shared" si="8"/>
        <v>742.84755615430458</v>
      </c>
      <c r="BI67" s="62">
        <f ca="1">AVERAGE(OFFSET($BH$3,0,0,'Données projet'!$E$11+1,1))-AVERAGE(OFFSET($H$3,0,0,'Données projet'!$E$11+1,1))</f>
        <v>316.00112010575197</v>
      </c>
      <c r="BJ67" s="62">
        <f t="shared" si="38"/>
        <v>345.16550310248078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2.8363819368585805E-4</v>
      </c>
      <c r="BS67" s="24">
        <f t="shared" si="9"/>
        <v>2.8363819368585805E-4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79.099999999999994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7.5137400000000012</v>
      </c>
      <c r="D68" s="12">
        <f t="shared" si="32"/>
        <v>2.7381584151692762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10.287869988555837</v>
      </c>
      <c r="H68" s="70">
        <f t="shared" ref="H68:H131" si="56">(B68+E68+F68)*44/12+(C68+D68)*0.475*44/12</f>
        <v>307.88872307308645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6.3550942286383367E-14</v>
      </c>
      <c r="P68" s="14">
        <f t="shared" si="33"/>
        <v>1.0064464192543978E-12</v>
      </c>
      <c r="Q68" s="22">
        <f t="shared" si="54"/>
        <v>1.8635787380168604E-12</v>
      </c>
      <c r="R68" s="62">
        <f t="shared" si="55"/>
        <v>326.70000000000186</v>
      </c>
      <c r="S68" s="62">
        <f ca="1">AVERAGE(OFFSET($R$3,0,0,'Données projet'!$E$9+1,1))-AVERAGE(OFFSET($H$3,0,0,'Données projet'!$E$9+1,1))</f>
        <v>358.51982625142648</v>
      </c>
      <c r="T68" s="62">
        <f t="shared" si="34"/>
        <v>432.55677461330856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0.64654207416206733</v>
      </c>
      <c r="AB68" s="23">
        <f>EXP(-LN(2)/2)*AB67+(1-EXP(-LN(2)/2))/(LN(2)/2)*V68*Y68*VLOOKUP('Données projet'!$B$9,Paramètres!$A$1:$I$89,3,0)*0.475*44/12</f>
        <v>1.3751707000075718E-4</v>
      </c>
      <c r="AC68" s="24">
        <f t="shared" ref="AC68:AC131" si="57">SUM(Z68:AB68)</f>
        <v>0.64667959123206809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-1.064108801074326E-13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264.16738206207805</v>
      </c>
      <c r="AO68" s="62">
        <f t="shared" si="36"/>
        <v>233.21990345647771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1.313877353315548E-4</v>
      </c>
      <c r="AX68" s="23">
        <f t="shared" ref="AX68:AX131" si="60">SUM(AU68:AW68)</f>
        <v>1.313877353315548E-4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224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223.99999999999997</v>
      </c>
      <c r="BE68" s="14">
        <f>BD68*VLOOKUP('Données projet'!$B$11,Paramètres!$A$1:$I$89,3,0)*VLOOKUP('Données projet'!$B$11,Paramètres!$A$1:$I$89,5,0)</f>
        <v>195.68639999999999</v>
      </c>
      <c r="BF68" s="14">
        <f t="shared" si="37"/>
        <v>48.794969360985156</v>
      </c>
      <c r="BG68" s="22">
        <f t="shared" ref="BG68:BG131" si="61">(BE68+BF68)*0.475*44/12</f>
        <v>425.80505163704908</v>
      </c>
      <c r="BH68" s="62">
        <f t="shared" ref="BH68:BH131" si="62">BG68+(AY68+AZ68)*44/12</f>
        <v>752.50505163704906</v>
      </c>
      <c r="BI68" s="62">
        <f ca="1">AVERAGE(OFFSET($BH$3,0,0,'Données projet'!$E$11+1,1))-AVERAGE(OFFSET($H$3,0,0,'Données projet'!$E$11+1,1))</f>
        <v>316.00112010575197</v>
      </c>
      <c r="BJ68" s="62">
        <f t="shared" si="38"/>
        <v>345.16550310248078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2.0056249015877362E-4</v>
      </c>
      <c r="BS68" s="24">
        <f t="shared" ref="BS68:BS131" si="63">SUM(BP68:BR68)</f>
        <v>2.0056249015877362E-4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79.099999999999994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7.6293360000000012</v>
      </c>
      <c r="D69" s="12">
        <f t="shared" ref="D69:D132" si="86">IFERROR(EXP(-1.0587+0.8836*LN(C69)+0.284),0)</f>
        <v>2.7753473805796633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10.441191041564155</v>
      </c>
      <c r="H69" s="70">
        <f t="shared" si="56"/>
        <v>308.15482355450956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6.3550942286383367E-14</v>
      </c>
      <c r="P69" s="14">
        <f t="shared" ref="P69:P132" si="87">EXP(-1.0587+0.8836*LN(O69)+0.284)</f>
        <v>1.0064464192543978E-12</v>
      </c>
      <c r="Q69" s="22">
        <f t="shared" si="54"/>
        <v>1.8635787380168604E-12</v>
      </c>
      <c r="R69" s="62">
        <f t="shared" si="55"/>
        <v>326.70000000000186</v>
      </c>
      <c r="S69" s="62">
        <f ca="1">AVERAGE(OFFSET($R$3,0,0,'Données projet'!$E$9+1,1))-AVERAGE(OFFSET($H$3,0,0,'Données projet'!$E$9+1,1))</f>
        <v>358.51982625142648</v>
      </c>
      <c r="T69" s="62">
        <f t="shared" ref="T69:T132" si="88">$T$3</f>
        <v>432.55677461330856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0.62886234714393563</v>
      </c>
      <c r="AB69" s="23">
        <f>EXP(-LN(2)/2)*AB68+(1-EXP(-LN(2)/2))/(LN(2)/2)*V69*Y69*VLOOKUP('Données projet'!$B$9,Paramètres!$A$1:$I$89,3,0)*0.475*44/12</f>
        <v>9.7239252726440546E-5</v>
      </c>
      <c r="AC69" s="24">
        <f t="shared" si="57"/>
        <v>0.62895958639666205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-1.064108801074326E-13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264.16738206207805</v>
      </c>
      <c r="AO69" s="62">
        <f t="shared" ref="AO69:AO132" si="90">$AO$3</f>
        <v>233.21990345647771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9.2905158617685737E-5</v>
      </c>
      <c r="AX69" s="23">
        <f t="shared" si="60"/>
        <v>9.2905158617685737E-5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208.59999999999997</v>
      </c>
      <c r="BE69" s="14">
        <f>BD69*VLOOKUP('Données projet'!$B$11,Paramètres!$A$1:$I$89,3,0)*VLOOKUP('Données projet'!$B$11,Paramètres!$A$1:$I$89,5,0)</f>
        <v>182.23295999999999</v>
      </c>
      <c r="BF69" s="14">
        <f t="shared" ref="BF69:BF132" si="91">EXP(-1.0587+0.8836*LN(BE69)+0.284)</f>
        <v>45.818621592366291</v>
      </c>
      <c r="BG69" s="22">
        <f t="shared" si="61"/>
        <v>397.18983794003793</v>
      </c>
      <c r="BH69" s="62">
        <f t="shared" si="62"/>
        <v>723.88983794003798</v>
      </c>
      <c r="BI69" s="62">
        <f ca="1">AVERAGE(OFFSET($BH$3,0,0,'Données projet'!$E$11+1,1))-AVERAGE(OFFSET($H$3,0,0,'Données projet'!$E$11+1,1))</f>
        <v>316.00112010575197</v>
      </c>
      <c r="BJ69" s="62">
        <f t="shared" ref="BJ69:BJ132" si="92">$BJ$3</f>
        <v>345.16550310248078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1.4181909684292903E-4</v>
      </c>
      <c r="BS69" s="24">
        <f t="shared" si="63"/>
        <v>1.4181909684292903E-4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79.099999999999994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7.7449320000000013</v>
      </c>
      <c r="D70" s="12">
        <f t="shared" si="86"/>
        <v>2.8124708133297558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10.594446331973019</v>
      </c>
      <c r="H70" s="70">
        <f t="shared" si="56"/>
        <v>308.42080989988261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6.3550942286383367E-14</v>
      </c>
      <c r="P70" s="14">
        <f t="shared" si="87"/>
        <v>1.0064464192543978E-12</v>
      </c>
      <c r="Q70" s="22">
        <f t="shared" si="54"/>
        <v>1.8635787380168604E-12</v>
      </c>
      <c r="R70" s="62">
        <f t="shared" si="55"/>
        <v>326.70000000000186</v>
      </c>
      <c r="S70" s="62">
        <f ca="1">AVERAGE(OFFSET($R$3,0,0,'Données projet'!$E$9+1,1))-AVERAGE(OFFSET($H$3,0,0,'Données projet'!$E$9+1,1))</f>
        <v>358.51982625142648</v>
      </c>
      <c r="T70" s="62">
        <f t="shared" si="88"/>
        <v>432.55677461330856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0.6116660731908512</v>
      </c>
      <c r="AB70" s="23">
        <f>EXP(-LN(2)/2)*AB69+(1-EXP(-LN(2)/2))/(LN(2)/2)*V70*Y70*VLOOKUP('Données projet'!$B$9,Paramètres!$A$1:$I$89,3,0)*0.475*44/12</f>
        <v>6.8758535000378588E-5</v>
      </c>
      <c r="AC70" s="24">
        <f t="shared" si="57"/>
        <v>0.61173483172585152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-1.064108801074326E-13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264.16738206207805</v>
      </c>
      <c r="AO70" s="62">
        <f t="shared" si="90"/>
        <v>233.21990345647771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6.5693867665777398E-5</v>
      </c>
      <c r="AX70" s="23">
        <f t="shared" si="60"/>
        <v>6.5693867665777398E-5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213.19999999999996</v>
      </c>
      <c r="BE70" s="14">
        <f>BD70*VLOOKUP('Données projet'!$B$11,Paramètres!$A$1:$I$89,3,0)*VLOOKUP('Données projet'!$B$11,Paramètres!$A$1:$I$89,5,0)</f>
        <v>186.25152</v>
      </c>
      <c r="BF70" s="14">
        <f t="shared" si="91"/>
        <v>46.71025851515671</v>
      </c>
      <c r="BG70" s="22">
        <f t="shared" si="61"/>
        <v>405.74176424723129</v>
      </c>
      <c r="BH70" s="62">
        <f t="shared" si="62"/>
        <v>732.44176424723128</v>
      </c>
      <c r="BI70" s="62">
        <f ca="1">AVERAGE(OFFSET($BH$3,0,0,'Données projet'!$E$11+1,1))-AVERAGE(OFFSET($H$3,0,0,'Données projet'!$E$11+1,1))</f>
        <v>316.00112010575197</v>
      </c>
      <c r="BJ70" s="62">
        <f t="shared" si="92"/>
        <v>345.16550310248078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1.0028124507938681E-4</v>
      </c>
      <c r="BS70" s="24">
        <f t="shared" si="63"/>
        <v>1.0028124507938681E-4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79.099999999999994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7.8605280000000013</v>
      </c>
      <c r="D71" s="12">
        <f t="shared" si="86"/>
        <v>2.8495298045033182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10.747636954694558</v>
      </c>
      <c r="H71" s="70">
        <f t="shared" si="56"/>
        <v>308.68668400950992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6.3550942286383367E-14</v>
      </c>
      <c r="P71" s="14">
        <f t="shared" si="87"/>
        <v>1.0064464192543978E-12</v>
      </c>
      <c r="Q71" s="22">
        <f t="shared" si="54"/>
        <v>1.8635787380168604E-12</v>
      </c>
      <c r="R71" s="62">
        <f t="shared" si="55"/>
        <v>326.70000000000186</v>
      </c>
      <c r="S71" s="62">
        <f ca="1">AVERAGE(OFFSET($R$3,0,0,'Données projet'!$E$9+1,1))-AVERAGE(OFFSET($H$3,0,0,'Données projet'!$E$9+1,1))</f>
        <v>358.51982625142648</v>
      </c>
      <c r="T71" s="62">
        <f t="shared" si="88"/>
        <v>432.55677461330856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0.59494003225332659</v>
      </c>
      <c r="AB71" s="23">
        <f>EXP(-LN(2)/2)*AB70+(1-EXP(-LN(2)/2))/(LN(2)/2)*V71*Y71*VLOOKUP('Données projet'!$B$9,Paramètres!$A$1:$I$89,3,0)*0.475*44/12</f>
        <v>4.8619626363220273E-5</v>
      </c>
      <c r="AC71" s="24">
        <f t="shared" si="57"/>
        <v>0.59498865187968986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-1.064108801074326E-13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264.16738206207805</v>
      </c>
      <c r="AO71" s="62">
        <f t="shared" si="90"/>
        <v>233.21990345647771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4.6452579308842869E-5</v>
      </c>
      <c r="AX71" s="23">
        <f t="shared" si="60"/>
        <v>4.6452579308842869E-5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217.79999999999995</v>
      </c>
      <c r="BE71" s="14">
        <f>BD71*VLOOKUP('Données projet'!$B$11,Paramètres!$A$1:$I$89,3,0)*VLOOKUP('Données projet'!$B$11,Paramètres!$A$1:$I$89,5,0)</f>
        <v>190.27007999999998</v>
      </c>
      <c r="BF71" s="14">
        <f t="shared" si="91"/>
        <v>47.599658767320413</v>
      </c>
      <c r="BG71" s="22">
        <f t="shared" si="61"/>
        <v>414.28979501974965</v>
      </c>
      <c r="BH71" s="62">
        <f t="shared" si="62"/>
        <v>740.98979501974964</v>
      </c>
      <c r="BI71" s="62">
        <f ca="1">AVERAGE(OFFSET($BH$3,0,0,'Données projet'!$E$11+1,1))-AVERAGE(OFFSET($H$3,0,0,'Données projet'!$E$11+1,1))</f>
        <v>316.00112010575197</v>
      </c>
      <c r="BJ71" s="62">
        <f t="shared" si="92"/>
        <v>345.16550310248078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7.0909548421464513E-5</v>
      </c>
      <c r="BS71" s="24">
        <f t="shared" si="63"/>
        <v>7.0909548421464513E-5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79.099999999999994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7.9761240000000013</v>
      </c>
      <c r="D72" s="12">
        <f t="shared" si="86"/>
        <v>2.8865254112511347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10.90076397058886</v>
      </c>
      <c r="H72" s="70">
        <f t="shared" si="56"/>
        <v>308.95244772459569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6.3550942286383367E-14</v>
      </c>
      <c r="P72" s="14">
        <f t="shared" si="87"/>
        <v>1.0064464192543978E-12</v>
      </c>
      <c r="Q72" s="22">
        <f t="shared" si="54"/>
        <v>1.8635787380168604E-12</v>
      </c>
      <c r="R72" s="62">
        <f t="shared" si="55"/>
        <v>326.70000000000186</v>
      </c>
      <c r="S72" s="62">
        <f ca="1">AVERAGE(OFFSET($R$3,0,0,'Données projet'!$E$9+1,1))-AVERAGE(OFFSET($H$3,0,0,'Données projet'!$E$9+1,1))</f>
        <v>358.51982625142648</v>
      </c>
      <c r="T72" s="62">
        <f t="shared" si="88"/>
        <v>432.55677461330856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0.57867136578482281</v>
      </c>
      <c r="AB72" s="23">
        <f>EXP(-LN(2)/2)*AB71+(1-EXP(-LN(2)/2))/(LN(2)/2)*V72*Y72*VLOOKUP('Données projet'!$B$9,Paramètres!$A$1:$I$89,3,0)*0.475*44/12</f>
        <v>3.4379267500189294E-5</v>
      </c>
      <c r="AC72" s="24">
        <f t="shared" si="57"/>
        <v>0.57870574505232297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-1.064108801074326E-13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264.16738206207805</v>
      </c>
      <c r="AO72" s="62">
        <f t="shared" si="90"/>
        <v>233.21990345647771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3.2846933832888699E-5</v>
      </c>
      <c r="AX72" s="23">
        <f t="shared" si="60"/>
        <v>3.2846933832888699E-5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222.39999999999995</v>
      </c>
      <c r="BE72" s="14">
        <f>BD72*VLOOKUP('Données projet'!$B$11,Paramètres!$A$1:$I$89,3,0)*VLOOKUP('Données projet'!$B$11,Paramètres!$A$1:$I$89,5,0)</f>
        <v>194.28863999999999</v>
      </c>
      <c r="BF72" s="14">
        <f t="shared" si="91"/>
        <v>48.486875029770822</v>
      </c>
      <c r="BG72" s="22">
        <f t="shared" si="61"/>
        <v>422.83402201018413</v>
      </c>
      <c r="BH72" s="62">
        <f t="shared" si="62"/>
        <v>749.53402201018412</v>
      </c>
      <c r="BI72" s="62">
        <f ca="1">AVERAGE(OFFSET($BH$3,0,0,'Données projet'!$E$11+1,1))-AVERAGE(OFFSET($H$3,0,0,'Données projet'!$E$11+1,1))</f>
        <v>316.00112010575197</v>
      </c>
      <c r="BJ72" s="62">
        <f t="shared" si="92"/>
        <v>345.16550310248078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5.0140622539693404E-5</v>
      </c>
      <c r="BS72" s="24">
        <f t="shared" si="63"/>
        <v>5.0140622539693404E-5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79.099999999999994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8.0917200000000005</v>
      </c>
      <c r="D73" s="12">
        <f t="shared" si="86"/>
        <v>2.9234586583225219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11.053828408000848</v>
      </c>
      <c r="H73" s="70">
        <f t="shared" si="56"/>
        <v>309.21810282991169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6.3550942286383367E-14</v>
      </c>
      <c r="P73" s="14">
        <f t="shared" si="87"/>
        <v>1.0064464192543978E-12</v>
      </c>
      <c r="Q73" s="22">
        <f t="shared" si="54"/>
        <v>1.8635787380168604E-12</v>
      </c>
      <c r="R73" s="62">
        <f t="shared" si="55"/>
        <v>326.70000000000186</v>
      </c>
      <c r="S73" s="62">
        <f ca="1">AVERAGE(OFFSET($R$3,0,0,'Données projet'!$E$9+1,1))-AVERAGE(OFFSET($H$3,0,0,'Données projet'!$E$9+1,1))</f>
        <v>358.51982625142648</v>
      </c>
      <c r="T73" s="62">
        <f t="shared" si="88"/>
        <v>432.55677461330856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0.56284756685643222</v>
      </c>
      <c r="AB73" s="23">
        <f>EXP(-LN(2)/2)*AB72+(1-EXP(-LN(2)/2))/(LN(2)/2)*V73*Y73*VLOOKUP('Données projet'!$B$9,Paramètres!$A$1:$I$89,3,0)*0.475*44/12</f>
        <v>2.4309813181610136E-5</v>
      </c>
      <c r="AC73" s="24">
        <f t="shared" si="57"/>
        <v>0.5628718766696138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-1.064108801074326E-13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264.16738206207805</v>
      </c>
      <c r="AO73" s="62">
        <f t="shared" si="90"/>
        <v>233.21990345647771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2.3226289654421434E-5</v>
      </c>
      <c r="AX73" s="23">
        <f t="shared" si="60"/>
        <v>2.3226289654421434E-5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227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226.99999999999994</v>
      </c>
      <c r="BE73" s="14">
        <f>BD73*VLOOKUP('Données projet'!$B$11,Paramètres!$A$1:$I$89,3,0)*VLOOKUP('Données projet'!$B$11,Paramètres!$A$1:$I$89,5,0)</f>
        <v>198.30719999999997</v>
      </c>
      <c r="BF73" s="14">
        <f t="shared" si="91"/>
        <v>49.371957679623371</v>
      </c>
      <c r="BG73" s="22">
        <f t="shared" si="61"/>
        <v>431.37453295867726</v>
      </c>
      <c r="BH73" s="62">
        <f t="shared" si="62"/>
        <v>758.07453295867731</v>
      </c>
      <c r="BI73" s="62">
        <f ca="1">AVERAGE(OFFSET($BH$3,0,0,'Données projet'!$E$11+1,1))-AVERAGE(OFFSET($H$3,0,0,'Données projet'!$E$11+1,1))</f>
        <v>316.00112010575197</v>
      </c>
      <c r="BJ73" s="62">
        <f t="shared" si="92"/>
        <v>345.16550310248078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3.5454774210732257E-5</v>
      </c>
      <c r="BS73" s="24">
        <f t="shared" si="63"/>
        <v>3.5454774210732257E-5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79.099999999999994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8.2073160000000005</v>
      </c>
      <c r="D74" s="12">
        <f t="shared" si="86"/>
        <v>2.9603305395068356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11.206831264206862</v>
      </c>
      <c r="H74" s="70">
        <f t="shared" si="56"/>
        <v>309.48365105630774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326.70000000000186</v>
      </c>
      <c r="S74" s="62">
        <f ca="1">AVERAGE(OFFSET($R$3,0,0,'Données projet'!$E$9+1,1))-AVERAGE(OFFSET($H$3,0,0,'Données projet'!$E$9+1,1))</f>
        <v>358.51982625142648</v>
      </c>
      <c r="T74" s="62">
        <f t="shared" si="88"/>
        <v>432.55677461330856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0.54745647054187596</v>
      </c>
      <c r="AB74" s="23">
        <f>EXP(-LN(2)/2)*AB73+(1-EXP(-LN(2)/2))/(LN(2)/2)*V74*Y74*VLOOKUP('Données projet'!$B$9,Paramètres!$A$1:$I$89,3,0)*0.475*44/12</f>
        <v>1.7189633750094647E-5</v>
      </c>
      <c r="AC74" s="24">
        <f t="shared" si="57"/>
        <v>0.54747366017562604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-1.064108801074326E-13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264.16738206207805</v>
      </c>
      <c r="AO74" s="62">
        <f t="shared" si="90"/>
        <v>233.21990345647771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1.6423466916444349E-5</v>
      </c>
      <c r="AX74" s="23">
        <f t="shared" si="60"/>
        <v>1.6423466916444349E-5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213.99999999999994</v>
      </c>
      <c r="BE74" s="14">
        <f>BD74*VLOOKUP('Données projet'!$B$11,Paramètres!$A$1:$I$89,3,0)*VLOOKUP('Données projet'!$B$11,Paramètres!$A$1:$I$89,5,0)</f>
        <v>186.95039999999997</v>
      </c>
      <c r="BF74" s="14">
        <f t="shared" si="91"/>
        <v>46.865095976617653</v>
      </c>
      <c r="BG74" s="22">
        <f t="shared" si="61"/>
        <v>407.22865549260905</v>
      </c>
      <c r="BH74" s="62">
        <f t="shared" si="62"/>
        <v>733.9286554926091</v>
      </c>
      <c r="BI74" s="62">
        <f ca="1">AVERAGE(OFFSET($BH$3,0,0,'Données projet'!$E$11+1,1))-AVERAGE(OFFSET($H$3,0,0,'Données projet'!$E$11+1,1))</f>
        <v>316.00112010575197</v>
      </c>
      <c r="BJ74" s="62">
        <f t="shared" si="92"/>
        <v>345.16550310248078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2.5070311269846702E-5</v>
      </c>
      <c r="BS74" s="24">
        <f t="shared" si="63"/>
        <v>2.5070311269846702E-5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79.099999999999994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8.3229120000000005</v>
      </c>
      <c r="D75" s="12">
        <f t="shared" si="86"/>
        <v>2.9971420189914642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11.359773506777399</v>
      </c>
      <c r="H75" s="70">
        <f t="shared" si="56"/>
        <v>309.74909408307678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326.70000000000186</v>
      </c>
      <c r="S75" s="62">
        <f ca="1">AVERAGE(OFFSET($R$3,0,0,'Données projet'!$E$9+1,1))-AVERAGE(OFFSET($H$3,0,0,'Données projet'!$E$9+1,1))</f>
        <v>358.51982625142648</v>
      </c>
      <c r="T75" s="62">
        <f t="shared" si="88"/>
        <v>432.55677461330856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0.53248624456542382</v>
      </c>
      <c r="AB75" s="23">
        <f>EXP(-LN(2)/2)*AB74+(1-EXP(-LN(2)/2))/(LN(2)/2)*V75*Y75*VLOOKUP('Données projet'!$B$9,Paramètres!$A$1:$I$89,3,0)*0.475*44/12</f>
        <v>1.2154906590805068E-5</v>
      </c>
      <c r="AC75" s="24">
        <f t="shared" si="57"/>
        <v>0.53249839947201461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-1.064108801074326E-13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264.16738206207805</v>
      </c>
      <c r="AO75" s="62">
        <f t="shared" si="90"/>
        <v>233.21990345647771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1.1613144827210717E-5</v>
      </c>
      <c r="AX75" s="23">
        <f t="shared" si="60"/>
        <v>1.1613144827210717E-5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217.99999999999994</v>
      </c>
      <c r="BE75" s="14">
        <f>BD75*VLOOKUP('Données projet'!$B$11,Paramètres!$A$1:$I$89,3,0)*VLOOKUP('Données projet'!$B$11,Paramètres!$A$1:$I$89,5,0)</f>
        <v>190.44479999999999</v>
      </c>
      <c r="BF75" s="14">
        <f t="shared" si="91"/>
        <v>47.638278428909231</v>
      </c>
      <c r="BG75" s="22">
        <f t="shared" si="61"/>
        <v>414.66136159701688</v>
      </c>
      <c r="BH75" s="62">
        <f t="shared" si="62"/>
        <v>741.36136159701687</v>
      </c>
      <c r="BI75" s="62">
        <f ca="1">AVERAGE(OFFSET($BH$3,0,0,'Données projet'!$E$11+1,1))-AVERAGE(OFFSET($H$3,0,0,'Données projet'!$E$11+1,1))</f>
        <v>316.00112010575197</v>
      </c>
      <c r="BJ75" s="62">
        <f t="shared" si="92"/>
        <v>345.16550310248078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1.7727387105366128E-5</v>
      </c>
      <c r="BS75" s="24">
        <f t="shared" si="63"/>
        <v>1.7727387105366128E-5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79.099999999999994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8.4385080000000006</v>
      </c>
      <c r="D76" s="12">
        <f t="shared" si="86"/>
        <v>3.0338940326422241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11.512656074862022</v>
      </c>
      <c r="H76" s="70">
        <f t="shared" si="56"/>
        <v>310.01443354018517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326.70000000000186</v>
      </c>
      <c r="S76" s="62">
        <f ca="1">AVERAGE(OFFSET($R$3,0,0,'Données projet'!$E$9+1,1))-AVERAGE(OFFSET($H$3,0,0,'Données projet'!$E$9+1,1))</f>
        <v>358.51982625142648</v>
      </c>
      <c r="T76" s="62">
        <f t="shared" si="88"/>
        <v>432.55677461330856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0.51792538020554768</v>
      </c>
      <c r="AB76" s="23">
        <f>EXP(-LN(2)/2)*AB75+(1-EXP(-LN(2)/2))/(LN(2)/2)*V76*Y76*VLOOKUP('Données projet'!$B$9,Paramètres!$A$1:$I$89,3,0)*0.475*44/12</f>
        <v>8.5948168750473235E-6</v>
      </c>
      <c r="AC76" s="24">
        <f t="shared" si="57"/>
        <v>0.51793397502242278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-1.064108801074326E-13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264.16738206207805</v>
      </c>
      <c r="AO76" s="62">
        <f t="shared" si="90"/>
        <v>233.21990345647771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8.2117334582221747E-6</v>
      </c>
      <c r="AX76" s="23">
        <f t="shared" si="60"/>
        <v>8.2117334582221747E-6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221.99999999999994</v>
      </c>
      <c r="BE76" s="14">
        <f>BD76*VLOOKUP('Données projet'!$B$11,Paramètres!$A$1:$I$89,3,0)*VLOOKUP('Données projet'!$B$11,Paramètres!$A$1:$I$89,5,0)</f>
        <v>193.93919999999997</v>
      </c>
      <c r="BF76" s="14">
        <f t="shared" si="91"/>
        <v>48.409811198069342</v>
      </c>
      <c r="BG76" s="22">
        <f t="shared" si="61"/>
        <v>422.091194503304</v>
      </c>
      <c r="BH76" s="62">
        <f t="shared" si="62"/>
        <v>748.79119450330404</v>
      </c>
      <c r="BI76" s="62">
        <f ca="1">AVERAGE(OFFSET($BH$3,0,0,'Données projet'!$E$11+1,1))-AVERAGE(OFFSET($H$3,0,0,'Données projet'!$E$11+1,1))</f>
        <v>316.00112010575197</v>
      </c>
      <c r="BJ76" s="62">
        <f t="shared" si="92"/>
        <v>345.16550310248078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1.2535155634923351E-5</v>
      </c>
      <c r="BS76" s="24">
        <f t="shared" si="63"/>
        <v>1.2535155634923351E-5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79.099999999999994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8.5541040000000006</v>
      </c>
      <c r="D77" s="12">
        <f t="shared" si="86"/>
        <v>3.0705874892116096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11.665479880401827</v>
      </c>
      <c r="H77" s="70">
        <f t="shared" si="56"/>
        <v>310.27967101037683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326.70000000000186</v>
      </c>
      <c r="S77" s="62">
        <f ca="1">AVERAGE(OFFSET($R$3,0,0,'Données projet'!$E$9+1,1))-AVERAGE(OFFSET($H$3,0,0,'Données projet'!$E$9+1,1))</f>
        <v>358.51982625142648</v>
      </c>
      <c r="T77" s="62">
        <f t="shared" si="88"/>
        <v>432.55677461330856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0.50376268344731501</v>
      </c>
      <c r="AB77" s="23">
        <f>EXP(-LN(2)/2)*AB76+(1-EXP(-LN(2)/2))/(LN(2)/2)*V77*Y77*VLOOKUP('Données projet'!$B$9,Paramètres!$A$1:$I$89,3,0)*0.475*44/12</f>
        <v>6.0774532954025341E-6</v>
      </c>
      <c r="AC77" s="24">
        <f t="shared" si="57"/>
        <v>0.5037687609006104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-1.064108801074326E-13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264.16738206207805</v>
      </c>
      <c r="AO77" s="62">
        <f t="shared" si="90"/>
        <v>233.21990345647771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5.8065724136053586E-6</v>
      </c>
      <c r="AX77" s="23">
        <f t="shared" si="60"/>
        <v>5.8065724136053586E-6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225.99999999999994</v>
      </c>
      <c r="BE77" s="14">
        <f>BD77*VLOOKUP('Données projet'!$B$11,Paramètres!$A$1:$I$89,3,0)*VLOOKUP('Données projet'!$B$11,Paramètres!$A$1:$I$89,5,0)</f>
        <v>197.43359999999996</v>
      </c>
      <c r="BF77" s="14">
        <f t="shared" si="91"/>
        <v>49.179727436837609</v>
      </c>
      <c r="BG77" s="22">
        <f t="shared" si="61"/>
        <v>429.51821195249204</v>
      </c>
      <c r="BH77" s="62">
        <f t="shared" si="62"/>
        <v>756.21821195249208</v>
      </c>
      <c r="BI77" s="62">
        <f ca="1">AVERAGE(OFFSET($BH$3,0,0,'Données projet'!$E$11+1,1))-AVERAGE(OFFSET($H$3,0,0,'Données projet'!$E$11+1,1))</f>
        <v>316.00112010575197</v>
      </c>
      <c r="BJ77" s="62">
        <f t="shared" si="92"/>
        <v>345.16550310248078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8.8636935526830642E-6</v>
      </c>
      <c r="BS77" s="24">
        <f t="shared" si="63"/>
        <v>8.8636935526830642E-6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79.099999999999994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8.6697000000000006</v>
      </c>
      <c r="D78" s="12">
        <f t="shared" si="86"/>
        <v>3.107223271479866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11.818245809274531</v>
      </c>
      <c r="H78" s="70">
        <f t="shared" si="56"/>
        <v>310.54480803116076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326.70000000000186</v>
      </c>
      <c r="S78" s="62">
        <f ca="1">AVERAGE(OFFSET($R$3,0,0,'Données projet'!$E$9+1,1))-AVERAGE(OFFSET($H$3,0,0,'Données projet'!$E$9+1,1))</f>
        <v>358.51982625142648</v>
      </c>
      <c r="T78" s="62">
        <f t="shared" si="88"/>
        <v>432.55677461330856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0.48998726637672002</v>
      </c>
      <c r="AB78" s="23">
        <f>EXP(-LN(2)/2)*AB77+(1-EXP(-LN(2)/2))/(LN(2)/2)*V78*Y78*VLOOKUP('Données projet'!$B$9,Paramètres!$A$1:$I$89,3,0)*0.475*44/12</f>
        <v>4.2974084375236617E-6</v>
      </c>
      <c r="AC78" s="24">
        <f t="shared" si="57"/>
        <v>0.48999156378515757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-1.064108801074326E-13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264.16738206207805</v>
      </c>
      <c r="AO78" s="62">
        <f t="shared" si="90"/>
        <v>233.21990345647771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4.1058667291110874E-6</v>
      </c>
      <c r="AX78" s="23">
        <f t="shared" si="60"/>
        <v>4.1058667291110874E-6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230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229.99999999999994</v>
      </c>
      <c r="BE78" s="14">
        <f>BD78*VLOOKUP('Données projet'!$B$11,Paramètres!$A$1:$I$89,3,0)*VLOOKUP('Données projet'!$B$11,Paramètres!$A$1:$I$89,5,0)</f>
        <v>200.92799999999997</v>
      </c>
      <c r="BF78" s="14">
        <f t="shared" si="91"/>
        <v>49.948059057189042</v>
      </c>
      <c r="BG78" s="22">
        <f t="shared" si="61"/>
        <v>436.94246952460418</v>
      </c>
      <c r="BH78" s="62">
        <f t="shared" si="62"/>
        <v>763.64246952460417</v>
      </c>
      <c r="BI78" s="62">
        <f ca="1">AVERAGE(OFFSET($BH$3,0,0,'Données projet'!$E$11+1,1))-AVERAGE(OFFSET($H$3,0,0,'Données projet'!$E$11+1,1))</f>
        <v>316.00112010575197</v>
      </c>
      <c r="BJ78" s="62">
        <f t="shared" si="92"/>
        <v>345.16550310248078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6.2675778174616756E-6</v>
      </c>
      <c r="BS78" s="24">
        <f t="shared" si="63"/>
        <v>6.2675778174616756E-6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79.099999999999994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8.7852960000000007</v>
      </c>
      <c r="D79" s="12">
        <f t="shared" si="86"/>
        <v>3.1438022373334831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11.97095472237676</v>
      </c>
      <c r="H79" s="70">
        <f t="shared" si="56"/>
        <v>310.80984609668911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326.70000000000186</v>
      </c>
      <c r="S79" s="62">
        <f ca="1">AVERAGE(OFFSET($R$3,0,0,'Données projet'!$E$9+1,1))-AVERAGE(OFFSET($H$3,0,0,'Données projet'!$E$9+1,1))</f>
        <v>358.51982625142648</v>
      </c>
      <c r="T79" s="62">
        <f t="shared" si="88"/>
        <v>432.55677461330856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0.47658853881033814</v>
      </c>
      <c r="AB79" s="23">
        <f>EXP(-LN(2)/2)*AB78+(1-EXP(-LN(2)/2))/(LN(2)/2)*V79*Y79*VLOOKUP('Données projet'!$B$9,Paramètres!$A$1:$I$89,3,0)*0.475*44/12</f>
        <v>3.0387266477012671E-6</v>
      </c>
      <c r="AC79" s="24">
        <f t="shared" si="57"/>
        <v>0.47659157753698583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-1.064108801074326E-13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264.16738206207805</v>
      </c>
      <c r="AO79" s="62">
        <f t="shared" si="90"/>
        <v>233.21990345647771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2.9032862068026793E-6</v>
      </c>
      <c r="AX79" s="23">
        <f t="shared" si="60"/>
        <v>2.9032862068026793E-6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3.4</v>
      </c>
      <c r="BD79" s="13">
        <f>IF('Données projet'!$A$88&gt;35,BD78+BC79-BL78,IF(A79&lt;'Données projet'!$A$88,$BA$205^A79,IF(A79='Données projet'!$A$88,'Données projet'!$B$88,BD78+BC79-BL78)))</f>
        <v>218.39999999999995</v>
      </c>
      <c r="BE79" s="14">
        <f>BD79*VLOOKUP('Données projet'!$B$11,Paramètres!$A$1:$I$89,3,0)*VLOOKUP('Données projet'!$B$11,Paramètres!$A$1:$I$89,5,0)</f>
        <v>190.79423999999997</v>
      </c>
      <c r="BF79" s="14">
        <f t="shared" si="91"/>
        <v>47.715505384501107</v>
      </c>
      <c r="BG79" s="22">
        <f t="shared" si="61"/>
        <v>415.40447321133934</v>
      </c>
      <c r="BH79" s="62">
        <f t="shared" si="62"/>
        <v>742.10447321133938</v>
      </c>
      <c r="BI79" s="62">
        <f ca="1">AVERAGE(OFFSET($BH$3,0,0,'Données projet'!$E$11+1,1))-AVERAGE(OFFSET($H$3,0,0,'Données projet'!$E$11+1,1))</f>
        <v>316.00112010575197</v>
      </c>
      <c r="BJ79" s="62">
        <f t="shared" si="92"/>
        <v>345.16550310248078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4.4318467763415321E-6</v>
      </c>
      <c r="BS79" s="24">
        <f t="shared" si="63"/>
        <v>4.4318467763415321E-6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79.099999999999994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8.9008920000000007</v>
      </c>
      <c r="D80" s="12">
        <f t="shared" si="86"/>
        <v>3.1803252207852979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12.123607456647704</v>
      </c>
      <c r="H80" s="70">
        <f t="shared" si="56"/>
        <v>311.07478665953437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326.70000000000186</v>
      </c>
      <c r="S80" s="62">
        <f ca="1">AVERAGE(OFFSET($R$3,0,0,'Données projet'!$E$9+1,1))-AVERAGE(OFFSET($H$3,0,0,'Données projet'!$E$9+1,1))</f>
        <v>358.51982625142648</v>
      </c>
      <c r="T80" s="62">
        <f t="shared" si="88"/>
        <v>432.55677461330856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0.46355620015386745</v>
      </c>
      <c r="AB80" s="23">
        <f>EXP(-LN(2)/2)*AB79+(1-EXP(-LN(2)/2))/(LN(2)/2)*V80*Y80*VLOOKUP('Données projet'!$B$9,Paramètres!$A$1:$I$89,3,0)*0.475*44/12</f>
        <v>2.1487042187618309E-6</v>
      </c>
      <c r="AC80" s="24">
        <f t="shared" si="57"/>
        <v>0.46355834885808622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-1.064108801074326E-13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264.16738206207805</v>
      </c>
      <c r="AO80" s="62">
        <f t="shared" si="90"/>
        <v>233.21990345647771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2.0529333645555437E-6</v>
      </c>
      <c r="AX80" s="23">
        <f t="shared" si="60"/>
        <v>2.0529333645555437E-6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3.4</v>
      </c>
      <c r="BD80" s="13">
        <f>IF('Données projet'!$A$88&gt;35,BD79+BC80-BL79,IF(A80&lt;'Données projet'!$A$88,$BA$205^A80,IF(A80='Données projet'!$A$88,'Données projet'!$B$88,BD79+BC80-BL79)))</f>
        <v>221.79999999999995</v>
      </c>
      <c r="BE80" s="14">
        <f>BD80*VLOOKUP('Données projet'!$B$11,Paramètres!$A$1:$I$89,3,0)*VLOOKUP('Données projet'!$B$11,Paramètres!$A$1:$I$89,5,0)</f>
        <v>193.76447999999999</v>
      </c>
      <c r="BF80" s="14">
        <f t="shared" si="91"/>
        <v>48.371273222646451</v>
      </c>
      <c r="BG80" s="22">
        <f t="shared" si="61"/>
        <v>421.71977019610921</v>
      </c>
      <c r="BH80" s="62">
        <f t="shared" si="62"/>
        <v>748.4197701961092</v>
      </c>
      <c r="BI80" s="62">
        <f ca="1">AVERAGE(OFFSET($BH$3,0,0,'Données projet'!$E$11+1,1))-AVERAGE(OFFSET($H$3,0,0,'Données projet'!$E$11+1,1))</f>
        <v>316.00112010575197</v>
      </c>
      <c r="BJ80" s="62">
        <f t="shared" si="92"/>
        <v>345.16550310248078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3.1337889087308378E-6</v>
      </c>
      <c r="BS80" s="24">
        <f t="shared" si="63"/>
        <v>3.1337889087308378E-6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79.099999999999994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9.0164880000000007</v>
      </c>
      <c r="D81" s="12">
        <f t="shared" si="86"/>
        <v>3.2167930329401142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12.276204826038152</v>
      </c>
      <c r="H81" s="70">
        <f t="shared" si="56"/>
        <v>311.33963113237064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326.70000000000186</v>
      </c>
      <c r="S81" s="62">
        <f ca="1">AVERAGE(OFFSET($R$3,0,0,'Données projet'!$E$9+1,1))-AVERAGE(OFFSET($H$3,0,0,'Données projet'!$E$9+1,1))</f>
        <v>358.51982625142648</v>
      </c>
      <c r="T81" s="62">
        <f t="shared" si="88"/>
        <v>432.55677461330856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0.45088023148329887</v>
      </c>
      <c r="AB81" s="23">
        <f>EXP(-LN(2)/2)*AB80+(1-EXP(-LN(2)/2))/(LN(2)/2)*V81*Y81*VLOOKUP('Données projet'!$B$9,Paramètres!$A$1:$I$89,3,0)*0.475*44/12</f>
        <v>1.5193633238506335E-6</v>
      </c>
      <c r="AC81" s="24">
        <f t="shared" si="57"/>
        <v>0.45088175084662274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-1.064108801074326E-13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264.16738206207805</v>
      </c>
      <c r="AO81" s="62">
        <f t="shared" si="90"/>
        <v>233.21990345647771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1.4516431034013396E-6</v>
      </c>
      <c r="AX81" s="23">
        <f t="shared" si="60"/>
        <v>1.4516431034013396E-6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3.4</v>
      </c>
      <c r="BD81" s="13">
        <f>IF('Données projet'!$A$88&gt;35,BD80+BC81-BL80,IF(A81&lt;'Données projet'!$A$88,$BA$205^A81,IF(A81='Données projet'!$A$88,'Données projet'!$B$88,BD80+BC81-BL80)))</f>
        <v>225.19999999999996</v>
      </c>
      <c r="BE81" s="14">
        <f>BD81*VLOOKUP('Données projet'!$B$11,Paramètres!$A$1:$I$89,3,0)*VLOOKUP('Données projet'!$B$11,Paramètres!$A$1:$I$89,5,0)</f>
        <v>196.73472000000001</v>
      </c>
      <c r="BF81" s="14">
        <f t="shared" si="91"/>
        <v>49.025871962429896</v>
      </c>
      <c r="BG81" s="22">
        <f t="shared" si="61"/>
        <v>428.03303100123208</v>
      </c>
      <c r="BH81" s="62">
        <f t="shared" si="62"/>
        <v>754.73303100123212</v>
      </c>
      <c r="BI81" s="62">
        <f ca="1">AVERAGE(OFFSET($BH$3,0,0,'Données projet'!$E$11+1,1))-AVERAGE(OFFSET($H$3,0,0,'Données projet'!$E$11+1,1))</f>
        <v>316.00112010575197</v>
      </c>
      <c r="BJ81" s="62">
        <f t="shared" si="92"/>
        <v>345.16550310248078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2.215923388170766E-6</v>
      </c>
      <c r="BS81" s="24">
        <f t="shared" si="63"/>
        <v>2.215923388170766E-6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79.099999999999994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9.1320840000000008</v>
      </c>
      <c r="D82" s="12">
        <f t="shared" si="86"/>
        <v>3.2532064629093727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12.428747622428356</v>
      </c>
      <c r="H82" s="70">
        <f t="shared" si="56"/>
        <v>311.60438088956715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326.70000000000186</v>
      </c>
      <c r="S82" s="62">
        <f ca="1">AVERAGE(OFFSET($R$3,0,0,'Données projet'!$E$9+1,1))-AVERAGE(OFFSET($H$3,0,0,'Données projet'!$E$9+1,1))</f>
        <v>358.51982625142648</v>
      </c>
      <c r="T82" s="62">
        <f t="shared" si="88"/>
        <v>432.55677461330856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0.43855088784262719</v>
      </c>
      <c r="AB82" s="23">
        <f>EXP(-LN(2)/2)*AB81+(1-EXP(-LN(2)/2))/(LN(2)/2)*V82*Y82*VLOOKUP('Données projet'!$B$9,Paramètres!$A$1:$I$89,3,0)*0.475*44/12</f>
        <v>1.0743521093809154E-6</v>
      </c>
      <c r="AC82" s="24">
        <f t="shared" si="57"/>
        <v>0.43855196219473658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-1.064108801074326E-13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264.16738206207805</v>
      </c>
      <c r="AO82" s="62">
        <f t="shared" si="90"/>
        <v>233.21990345647771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1.0264666822777718E-6</v>
      </c>
      <c r="AX82" s="23">
        <f t="shared" si="60"/>
        <v>1.0264666822777718E-6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3.4</v>
      </c>
      <c r="BD82" s="13">
        <f>IF('Données projet'!$A$88&gt;35,BD81+BC82-BL81,IF(A82&lt;'Données projet'!$A$88,$BA$205^A82,IF(A82='Données projet'!$A$88,'Données projet'!$B$88,BD81+BC82-BL81)))</f>
        <v>228.59999999999997</v>
      </c>
      <c r="BE82" s="14">
        <f>BD82*VLOOKUP('Données projet'!$B$11,Paramètres!$A$1:$I$89,3,0)*VLOOKUP('Données projet'!$B$11,Paramètres!$A$1:$I$89,5,0)</f>
        <v>199.70496</v>
      </c>
      <c r="BF82" s="14">
        <f t="shared" si="91"/>
        <v>49.679321293278612</v>
      </c>
      <c r="BG82" s="22">
        <f t="shared" si="61"/>
        <v>434.34428991912688</v>
      </c>
      <c r="BH82" s="62">
        <f t="shared" si="62"/>
        <v>761.04428991912687</v>
      </c>
      <c r="BI82" s="62">
        <f ca="1">AVERAGE(OFFSET($BH$3,0,0,'Données projet'!$E$11+1,1))-AVERAGE(OFFSET($H$3,0,0,'Données projet'!$E$11+1,1))</f>
        <v>316.00112010575197</v>
      </c>
      <c r="BJ82" s="62">
        <f t="shared" si="92"/>
        <v>345.16550310248078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1.5668944543654189E-6</v>
      </c>
      <c r="BS82" s="24">
        <f t="shared" si="63"/>
        <v>1.5668944543654189E-6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79.099999999999994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9.2476800000000008</v>
      </c>
      <c r="D83" s="12">
        <f t="shared" si="86"/>
        <v>3.2895662786782083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12.581236616498133</v>
      </c>
      <c r="H83" s="70">
        <f t="shared" si="56"/>
        <v>311.86903726869787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326.70000000000186</v>
      </c>
      <c r="S83" s="62">
        <f ca="1">AVERAGE(OFFSET($R$3,0,0,'Données projet'!$E$9+1,1))-AVERAGE(OFFSET($H$3,0,0,'Données projet'!$E$9+1,1))</f>
        <v>358.51982625142648</v>
      </c>
      <c r="T83" s="62">
        <f t="shared" si="88"/>
        <v>432.55677461330856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0.42655869075218167</v>
      </c>
      <c r="AB83" s="23">
        <f>EXP(-LN(2)/2)*AB82+(1-EXP(-LN(2)/2))/(LN(2)/2)*V83*Y83*VLOOKUP('Données projet'!$B$9,Paramètres!$A$1:$I$89,3,0)*0.475*44/12</f>
        <v>7.5968166192531677E-7</v>
      </c>
      <c r="AC83" s="24">
        <f t="shared" si="57"/>
        <v>0.42655945043384358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-1.064108801074326E-13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264.16738206207805</v>
      </c>
      <c r="AO83" s="62">
        <f t="shared" si="90"/>
        <v>233.21990345647771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7.2582155170066982E-7</v>
      </c>
      <c r="AX83" s="23">
        <f t="shared" si="60"/>
        <v>7.2582155170066982E-7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232</v>
      </c>
      <c r="BB83" s="13">
        <f>VLOOKUP(A83,'Données projet'!$A$87:$I$107,9,0)</f>
        <v>3.4</v>
      </c>
      <c r="BC83" s="13">
        <f t="array" ref="BC83">INDEX(BB:BB,MIN(IF(ISNUMBER(BB83:BB279),ROW(BB83:BB279),"")))</f>
        <v>3.4</v>
      </c>
      <c r="BD83" s="13">
        <f>IF('Données projet'!$A$88&gt;35,BD82+BC83-BL82,IF(A83&lt;'Données projet'!$A$88,$BA$205^A83,IF(A83='Données projet'!$A$88,'Données projet'!$B$88,BD82+BC83-BL82)))</f>
        <v>231.99999999999997</v>
      </c>
      <c r="BE83" s="14">
        <f>BD83*VLOOKUP('Données projet'!$B$11,Paramètres!$A$1:$I$89,3,0)*VLOOKUP('Données projet'!$B$11,Paramètres!$A$1:$I$89,5,0)</f>
        <v>202.67519999999999</v>
      </c>
      <c r="BF83" s="14">
        <f t="shared" si="91"/>
        <v>50.33164028531364</v>
      </c>
      <c r="BG83" s="22">
        <f t="shared" si="61"/>
        <v>440.65358016358783</v>
      </c>
      <c r="BH83" s="62">
        <f t="shared" si="62"/>
        <v>767.35358016358782</v>
      </c>
      <c r="BI83" s="62">
        <f ca="1">AVERAGE(OFFSET($BH$3,0,0,'Données projet'!$E$11+1,1))-AVERAGE(OFFSET($H$3,0,0,'Données projet'!$E$11+1,1))</f>
        <v>316.00112010575197</v>
      </c>
      <c r="BJ83" s="62">
        <f t="shared" si="92"/>
        <v>345.16550310248078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1.107961694085383E-6</v>
      </c>
      <c r="BS83" s="24">
        <f t="shared" si="63"/>
        <v>1.107961694085383E-6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79.099999999999994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9.3632760000000008</v>
      </c>
      <c r="D84" s="12">
        <f t="shared" si="86"/>
        <v>3.3258732279279055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12.733672558552216</v>
      </c>
      <c r="H84" s="70">
        <f t="shared" si="56"/>
        <v>312.1336015719744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326.70000000000186</v>
      </c>
      <c r="S84" s="62">
        <f ca="1">AVERAGE(OFFSET($R$3,0,0,'Données projet'!$E$9+1,1))-AVERAGE(OFFSET($H$3,0,0,'Données projet'!$E$9+1,1))</f>
        <v>358.51982625142648</v>
      </c>
      <c r="T84" s="62">
        <f t="shared" si="88"/>
        <v>432.55677461330856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0.41489442092181661</v>
      </c>
      <c r="AB84" s="23">
        <f>EXP(-LN(2)/2)*AB83+(1-EXP(-LN(2)/2))/(LN(2)/2)*V84*Y84*VLOOKUP('Données projet'!$B$9,Paramètres!$A$1:$I$89,3,0)*0.475*44/12</f>
        <v>5.3717605469045772E-7</v>
      </c>
      <c r="AC84" s="24">
        <f t="shared" si="57"/>
        <v>0.4148949580978713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-1.064108801074326E-13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264.16738206207805</v>
      </c>
      <c r="AO84" s="62">
        <f t="shared" si="90"/>
        <v>233.21990345647771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5.1323334113888592E-7</v>
      </c>
      <c r="AX84" s="23">
        <f t="shared" si="60"/>
        <v>5.1323334113888592E-7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221.99999999999997</v>
      </c>
      <c r="BE84" s="14">
        <f>BD84*VLOOKUP('Données projet'!$B$11,Paramètres!$A$1:$I$89,3,0)*VLOOKUP('Données projet'!$B$11,Paramètres!$A$1:$I$89,5,0)</f>
        <v>193.9392</v>
      </c>
      <c r="BF84" s="14">
        <f t="shared" si="91"/>
        <v>48.409811198069384</v>
      </c>
      <c r="BG84" s="22">
        <f t="shared" si="61"/>
        <v>422.09119450330417</v>
      </c>
      <c r="BH84" s="62">
        <f t="shared" si="62"/>
        <v>748.79119450330415</v>
      </c>
      <c r="BI84" s="62">
        <f ca="1">AVERAGE(OFFSET($BH$3,0,0,'Données projet'!$E$11+1,1))-AVERAGE(OFFSET($H$3,0,0,'Données projet'!$E$11+1,1))</f>
        <v>316.00112010575197</v>
      </c>
      <c r="BJ84" s="62">
        <f t="shared" si="92"/>
        <v>345.16550310248078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7.8344722718270944E-7</v>
      </c>
      <c r="BS84" s="24">
        <f t="shared" si="63"/>
        <v>7.8344722718270944E-7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79.099999999999994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9.4788720000000009</v>
      </c>
      <c r="D85" s="12">
        <f t="shared" si="86"/>
        <v>3.3621280388165933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12.886056179303671</v>
      </c>
      <c r="H85" s="70">
        <f t="shared" si="56"/>
        <v>312.39807506760553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326.70000000000186</v>
      </c>
      <c r="S85" s="62">
        <f ca="1">AVERAGE(OFFSET($R$3,0,0,'Données projet'!$E$9+1,1))-AVERAGE(OFFSET($H$3,0,0,'Données projet'!$E$9+1,1))</f>
        <v>358.51982625142648</v>
      </c>
      <c r="T85" s="62">
        <f t="shared" si="88"/>
        <v>432.55677461330856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0.40354911116336017</v>
      </c>
      <c r="AB85" s="23">
        <f>EXP(-LN(2)/2)*AB84+(1-EXP(-LN(2)/2))/(LN(2)/2)*V85*Y85*VLOOKUP('Données projet'!$B$9,Paramètres!$A$1:$I$89,3,0)*0.475*44/12</f>
        <v>3.7984083096265838E-7</v>
      </c>
      <c r="AC85" s="24">
        <f t="shared" si="57"/>
        <v>0.40354949100419113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-1.064108801074326E-13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264.16738206207805</v>
      </c>
      <c r="AO85" s="62">
        <f t="shared" si="90"/>
        <v>233.21990345647771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3.6291077585033491E-7</v>
      </c>
      <c r="AX85" s="23">
        <f t="shared" si="60"/>
        <v>3.6291077585033491E-7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224.99999999999997</v>
      </c>
      <c r="BE85" s="14">
        <f>BD85*VLOOKUP('Données projet'!$B$11,Paramètres!$A$1:$I$89,3,0)*VLOOKUP('Données projet'!$B$11,Paramètres!$A$1:$I$89,5,0)</f>
        <v>196.56</v>
      </c>
      <c r="BF85" s="14">
        <f t="shared" si="91"/>
        <v>48.987398161128091</v>
      </c>
      <c r="BG85" s="22">
        <f t="shared" si="61"/>
        <v>427.66171846396475</v>
      </c>
      <c r="BH85" s="62">
        <f t="shared" si="62"/>
        <v>754.36171846396473</v>
      </c>
      <c r="BI85" s="62">
        <f ca="1">AVERAGE(OFFSET($BH$3,0,0,'Données projet'!$E$11+1,1))-AVERAGE(OFFSET($H$3,0,0,'Données projet'!$E$11+1,1))</f>
        <v>316.00112010575197</v>
      </c>
      <c r="BJ85" s="62">
        <f t="shared" si="92"/>
        <v>345.16550310248078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5.5398084704269151E-7</v>
      </c>
      <c r="BS85" s="24">
        <f t="shared" si="63"/>
        <v>5.5398084704269151E-7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79.099999999999994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9.5944680000000009</v>
      </c>
      <c r="D86" s="12">
        <f t="shared" si="86"/>
        <v>3.3983314207207638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13.038388190618031</v>
      </c>
      <c r="H86" s="70">
        <f t="shared" si="56"/>
        <v>312.66245899108861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326.70000000000186</v>
      </c>
      <c r="S86" s="62">
        <f ca="1">AVERAGE(OFFSET($R$3,0,0,'Données projet'!$E$9+1,1))-AVERAGE(OFFSET($H$3,0,0,'Données projet'!$E$9+1,1))</f>
        <v>358.51982625142648</v>
      </c>
      <c r="T86" s="62">
        <f t="shared" si="88"/>
        <v>432.55677461330856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0.39251403949687264</v>
      </c>
      <c r="AB86" s="23">
        <f>EXP(-LN(2)/2)*AB85+(1-EXP(-LN(2)/2))/(LN(2)/2)*V86*Y86*VLOOKUP('Données projet'!$B$9,Paramètres!$A$1:$I$89,3,0)*0.475*44/12</f>
        <v>2.6858802734522886E-7</v>
      </c>
      <c r="AC86" s="24">
        <f t="shared" si="57"/>
        <v>0.39251430808489995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-1.064108801074326E-13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264.16738206207805</v>
      </c>
      <c r="AO86" s="62">
        <f t="shared" si="90"/>
        <v>233.21990345647771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2.5661667056944296E-7</v>
      </c>
      <c r="AX86" s="23">
        <f t="shared" si="60"/>
        <v>2.5661667056944296E-7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227.99999999999997</v>
      </c>
      <c r="BE86" s="14">
        <f>BD86*VLOOKUP('Données projet'!$B$11,Paramètres!$A$1:$I$89,3,0)*VLOOKUP('Données projet'!$B$11,Paramètres!$A$1:$I$89,5,0)</f>
        <v>199.1808</v>
      </c>
      <c r="BF86" s="14">
        <f t="shared" si="91"/>
        <v>49.564089376413683</v>
      </c>
      <c r="BG86" s="22">
        <f t="shared" si="61"/>
        <v>433.23068233058711</v>
      </c>
      <c r="BH86" s="62">
        <f t="shared" si="62"/>
        <v>759.93068233058716</v>
      </c>
      <c r="BI86" s="62">
        <f ca="1">AVERAGE(OFFSET($BH$3,0,0,'Données projet'!$E$11+1,1))-AVERAGE(OFFSET($H$3,0,0,'Données projet'!$E$11+1,1))</f>
        <v>316.00112010575197</v>
      </c>
      <c r="BJ86" s="62">
        <f t="shared" si="92"/>
        <v>345.16550310248078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3.9172361359135472E-7</v>
      </c>
      <c r="BS86" s="24">
        <f t="shared" si="63"/>
        <v>3.9172361359135472E-7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79.099999999999994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9.7100640000000009</v>
      </c>
      <c r="D87" s="12">
        <f t="shared" si="86"/>
        <v>3.4344840649400368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13.190669286220531</v>
      </c>
      <c r="H87" s="70">
        <f t="shared" si="56"/>
        <v>312.92675454643722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326.70000000000186</v>
      </c>
      <c r="S87" s="62">
        <f ca="1">AVERAGE(OFFSET($R$3,0,0,'Données projet'!$E$9+1,1))-AVERAGE(OFFSET($H$3,0,0,'Données projet'!$E$9+1,1))</f>
        <v>358.51982625142648</v>
      </c>
      <c r="T87" s="62">
        <f t="shared" si="88"/>
        <v>432.55677461330856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0.38178072244541444</v>
      </c>
      <c r="AB87" s="23">
        <f>EXP(-LN(2)/2)*AB86+(1-EXP(-LN(2)/2))/(LN(2)/2)*V87*Y87*VLOOKUP('Données projet'!$B$9,Paramètres!$A$1:$I$89,3,0)*0.475*44/12</f>
        <v>1.8992041548132919E-7</v>
      </c>
      <c r="AC87" s="24">
        <f t="shared" si="57"/>
        <v>0.38178091236582995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-1.064108801074326E-13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264.16738206207805</v>
      </c>
      <c r="AO87" s="62">
        <f t="shared" si="90"/>
        <v>233.21990345647771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1.8145538792516746E-7</v>
      </c>
      <c r="AX87" s="23">
        <f t="shared" si="60"/>
        <v>1.8145538792516746E-7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230.99999999999997</v>
      </c>
      <c r="BE87" s="14">
        <f>BD87*VLOOKUP('Données projet'!$B$11,Paramètres!$A$1:$I$89,3,0)*VLOOKUP('Données projet'!$B$11,Paramètres!$A$1:$I$89,5,0)</f>
        <v>201.80159999999998</v>
      </c>
      <c r="BF87" s="14">
        <f t="shared" si="91"/>
        <v>50.139897992681668</v>
      </c>
      <c r="BG87" s="22">
        <f t="shared" si="61"/>
        <v>438.7981090039205</v>
      </c>
      <c r="BH87" s="62">
        <f t="shared" si="62"/>
        <v>765.49810900392049</v>
      </c>
      <c r="BI87" s="62">
        <f ca="1">AVERAGE(OFFSET($BH$3,0,0,'Données projet'!$E$11+1,1))-AVERAGE(OFFSET($H$3,0,0,'Données projet'!$E$11+1,1))</f>
        <v>316.00112010575197</v>
      </c>
      <c r="BJ87" s="62">
        <f t="shared" si="92"/>
        <v>345.16550310248078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2.7699042352134575E-7</v>
      </c>
      <c r="BS87" s="24">
        <f t="shared" si="63"/>
        <v>2.7699042352134575E-7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79.099999999999994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9.8256600000000009</v>
      </c>
      <c r="D88" s="12">
        <f t="shared" si="86"/>
        <v>3.4705866453674141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13.342900142368705</v>
      </c>
      <c r="H88" s="70">
        <f t="shared" si="56"/>
        <v>313.19096290734819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326.70000000000186</v>
      </c>
      <c r="S88" s="62">
        <f ca="1">AVERAGE(OFFSET($R$3,0,0,'Données projet'!$E$9+1,1))-AVERAGE(OFFSET($H$3,0,0,'Données projet'!$E$9+1,1))</f>
        <v>358.51982625142648</v>
      </c>
      <c r="T88" s="62">
        <f t="shared" si="88"/>
        <v>432.55677461330856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0.37134090851316898</v>
      </c>
      <c r="AB88" s="23">
        <f>EXP(-LN(2)/2)*AB87+(1-EXP(-LN(2)/2))/(LN(2)/2)*V88*Y88*VLOOKUP('Données projet'!$B$9,Paramètres!$A$1:$I$89,3,0)*0.475*44/12</f>
        <v>1.3429401367261443E-7</v>
      </c>
      <c r="AC88" s="24">
        <f t="shared" si="57"/>
        <v>0.37134104280718266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-1.064108801074326E-13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264.16738206207805</v>
      </c>
      <c r="AO88" s="62">
        <f t="shared" si="90"/>
        <v>233.21990345647771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1.2830833528472148E-7</v>
      </c>
      <c r="AX88" s="23">
        <f t="shared" si="60"/>
        <v>1.2830833528472148E-7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234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233.99999999999997</v>
      </c>
      <c r="BE88" s="14">
        <f>BD88*VLOOKUP('Données projet'!$B$11,Paramètres!$A$1:$I$89,3,0)*VLOOKUP('Données projet'!$B$11,Paramètres!$A$1:$I$89,5,0)</f>
        <v>204.42239999999998</v>
      </c>
      <c r="BF88" s="14">
        <f t="shared" si="91"/>
        <v>50.714836797527262</v>
      </c>
      <c r="BG88" s="22">
        <f t="shared" si="61"/>
        <v>444.36402075569328</v>
      </c>
      <c r="BH88" s="62">
        <f t="shared" si="62"/>
        <v>771.06402075569326</v>
      </c>
      <c r="BI88" s="62">
        <f ca="1">AVERAGE(OFFSET($BH$3,0,0,'Données projet'!$E$11+1,1))-AVERAGE(OFFSET($H$3,0,0,'Données projet'!$E$11+1,1))</f>
        <v>316.00112010575197</v>
      </c>
      <c r="BJ88" s="62">
        <f t="shared" si="92"/>
        <v>345.16550310248078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1.9586180679567736E-7</v>
      </c>
      <c r="BS88" s="24">
        <f t="shared" si="63"/>
        <v>1.9586180679567736E-7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79.099999999999994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9.941256000000001</v>
      </c>
      <c r="D89" s="12">
        <f t="shared" si="86"/>
        <v>3.5066398191270887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13.495081418492449</v>
      </c>
      <c r="H89" s="70">
        <f t="shared" si="56"/>
        <v>313.455085218313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326.70000000000186</v>
      </c>
      <c r="S89" s="62">
        <f ca="1">AVERAGE(OFFSET($R$3,0,0,'Données projet'!$E$9+1,1))-AVERAGE(OFFSET($H$3,0,0,'Données projet'!$E$9+1,1))</f>
        <v>358.51982625142648</v>
      </c>
      <c r="T89" s="62">
        <f t="shared" si="88"/>
        <v>432.55677461330856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0.36118657184190672</v>
      </c>
      <c r="AB89" s="23">
        <f>EXP(-LN(2)/2)*AB88+(1-EXP(-LN(2)/2))/(LN(2)/2)*V89*Y89*VLOOKUP('Données projet'!$B$9,Paramètres!$A$1:$I$89,3,0)*0.475*44/12</f>
        <v>9.4960207740664596E-8</v>
      </c>
      <c r="AC89" s="24">
        <f t="shared" si="57"/>
        <v>0.36118666680211448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-1.064108801074326E-13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264.16738206207805</v>
      </c>
      <c r="AO89" s="62">
        <f t="shared" si="90"/>
        <v>233.21990345647771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9.0727693962583728E-8</v>
      </c>
      <c r="AX89" s="23">
        <f t="shared" si="60"/>
        <v>9.0727693962583728E-8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2.8</v>
      </c>
      <c r="BD89" s="13">
        <f>IF('Données projet'!$A$88&gt;35,BD88+BC89-BL88,IF(A89&lt;'Données projet'!$A$88,$BA$205^A89,IF(A89='Données projet'!$A$88,'Données projet'!$B$88,BD88+BC89-BL88)))</f>
        <v>224.79999999999998</v>
      </c>
      <c r="BE89" s="14">
        <f>BD89*VLOOKUP('Données projet'!$B$11,Paramètres!$A$1:$I$89,3,0)*VLOOKUP('Données projet'!$B$11,Paramètres!$A$1:$I$89,5,0)</f>
        <v>196.38528000000002</v>
      </c>
      <c r="BF89" s="14">
        <f t="shared" si="91"/>
        <v>48.948920378863868</v>
      </c>
      <c r="BG89" s="22">
        <f t="shared" si="61"/>
        <v>427.29039899318792</v>
      </c>
      <c r="BH89" s="62">
        <f t="shared" si="62"/>
        <v>753.99039899318791</v>
      </c>
      <c r="BI89" s="62">
        <f ca="1">AVERAGE(OFFSET($BH$3,0,0,'Données projet'!$E$11+1,1))-AVERAGE(OFFSET($H$3,0,0,'Données projet'!$E$11+1,1))</f>
        <v>316.00112010575197</v>
      </c>
      <c r="BJ89" s="62">
        <f t="shared" si="92"/>
        <v>345.16550310248078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1.3849521176067288E-7</v>
      </c>
      <c r="BS89" s="24">
        <f t="shared" si="63"/>
        <v>1.3849521176067288E-7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79.099999999999994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10.056852000000001</v>
      </c>
      <c r="D90" s="12">
        <f t="shared" si="86"/>
        <v>3.5426442271817384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13.64721375780343</v>
      </c>
      <c r="H90" s="70">
        <f t="shared" si="56"/>
        <v>313.71912259567483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326.70000000000186</v>
      </c>
      <c r="S90" s="62">
        <f ca="1">AVERAGE(OFFSET($R$3,0,0,'Données projet'!$E$9+1,1))-AVERAGE(OFFSET($H$3,0,0,'Données projet'!$E$9+1,1))</f>
        <v>358.51982625142648</v>
      </c>
      <c r="T90" s="62">
        <f t="shared" si="88"/>
        <v>432.55677461330856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0.3513099060409135</v>
      </c>
      <c r="AB90" s="23">
        <f>EXP(-LN(2)/2)*AB89+(1-EXP(-LN(2)/2))/(LN(2)/2)*V90*Y90*VLOOKUP('Données projet'!$B$9,Paramètres!$A$1:$I$89,3,0)*0.475*44/12</f>
        <v>6.7147006836307215E-8</v>
      </c>
      <c r="AC90" s="24">
        <f t="shared" si="57"/>
        <v>0.35130997318792034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-1.064108801074326E-13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264.16738206207805</v>
      </c>
      <c r="AO90" s="62">
        <f t="shared" si="90"/>
        <v>233.21990345647771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6.415416764236074E-8</v>
      </c>
      <c r="AX90" s="23">
        <f t="shared" si="60"/>
        <v>6.415416764236074E-8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2.8</v>
      </c>
      <c r="BD90" s="13">
        <f>IF('Données projet'!$A$88&gt;35,BD89+BC90-BL89,IF(A90&lt;'Données projet'!$A$88,$BA$205^A90,IF(A90='Données projet'!$A$88,'Données projet'!$B$88,BD89+BC90-BL89)))</f>
        <v>227.6</v>
      </c>
      <c r="BE90" s="14">
        <f>BD90*VLOOKUP('Données projet'!$B$11,Paramètres!$A$1:$I$89,3,0)*VLOOKUP('Données projet'!$B$11,Paramètres!$A$1:$I$89,5,0)</f>
        <v>198.83136000000002</v>
      </c>
      <c r="BF90" s="14">
        <f t="shared" si="91"/>
        <v>49.48724849224233</v>
      </c>
      <c r="BG90" s="22">
        <f t="shared" si="61"/>
        <v>432.4882431239887</v>
      </c>
      <c r="BH90" s="62">
        <f t="shared" si="62"/>
        <v>759.18824312398874</v>
      </c>
      <c r="BI90" s="62">
        <f ca="1">AVERAGE(OFFSET($BH$3,0,0,'Données projet'!$E$11+1,1))-AVERAGE(OFFSET($H$3,0,0,'Données projet'!$E$11+1,1))</f>
        <v>316.00112010575197</v>
      </c>
      <c r="BJ90" s="62">
        <f t="shared" si="92"/>
        <v>345.16550310248078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9.7930903397838681E-8</v>
      </c>
      <c r="BS90" s="24">
        <f t="shared" si="63"/>
        <v>9.7930903397838681E-8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79.099999999999994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10.172448000000001</v>
      </c>
      <c r="D91" s="12">
        <f t="shared" si="86"/>
        <v>3.5786004949111097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13.799297787875714</v>
      </c>
      <c r="H91" s="70">
        <f t="shared" si="56"/>
        <v>313.98307612863681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326.70000000000186</v>
      </c>
      <c r="S91" s="62">
        <f ca="1">AVERAGE(OFFSET($R$3,0,0,'Données projet'!$E$9+1,1))-AVERAGE(OFFSET($H$3,0,0,'Données projet'!$E$9+1,1))</f>
        <v>358.51982625142648</v>
      </c>
      <c r="T91" s="62">
        <f t="shared" si="88"/>
        <v>432.55677461330856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0.3417033181856397</v>
      </c>
      <c r="AB91" s="23">
        <f>EXP(-LN(2)/2)*AB90+(1-EXP(-LN(2)/2))/(LN(2)/2)*V91*Y91*VLOOKUP('Données projet'!$B$9,Paramètres!$A$1:$I$89,3,0)*0.475*44/12</f>
        <v>4.7480103870332298E-8</v>
      </c>
      <c r="AC91" s="24">
        <f t="shared" si="57"/>
        <v>0.34170336566574355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-1.064108801074326E-13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264.16738206207805</v>
      </c>
      <c r="AO91" s="62">
        <f t="shared" si="90"/>
        <v>233.21990345647771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4.5363846981291864E-8</v>
      </c>
      <c r="AX91" s="23">
        <f t="shared" si="60"/>
        <v>4.5363846981291864E-8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2.8</v>
      </c>
      <c r="BD91" s="13">
        <f>IF('Données projet'!$A$88&gt;35,BD90+BC91-BL90,IF(A91&lt;'Données projet'!$A$88,$BA$205^A91,IF(A91='Données projet'!$A$88,'Données projet'!$B$88,BD90+BC91-BL90)))</f>
        <v>230.4</v>
      </c>
      <c r="BE91" s="14">
        <f>BD91*VLOOKUP('Données projet'!$B$11,Paramètres!$A$1:$I$89,3,0)*VLOOKUP('Données projet'!$B$11,Paramètres!$A$1:$I$89,5,0)</f>
        <v>201.27744000000004</v>
      </c>
      <c r="BF91" s="14">
        <f t="shared" si="91"/>
        <v>50.024806258462775</v>
      </c>
      <c r="BG91" s="22">
        <f t="shared" si="61"/>
        <v>437.68474556682276</v>
      </c>
      <c r="BH91" s="62">
        <f t="shared" si="62"/>
        <v>764.38474556682274</v>
      </c>
      <c r="BI91" s="62">
        <f ca="1">AVERAGE(OFFSET($BH$3,0,0,'Données projet'!$E$11+1,1))-AVERAGE(OFFSET($H$3,0,0,'Données projet'!$E$11+1,1))</f>
        <v>316.00112010575197</v>
      </c>
      <c r="BJ91" s="62">
        <f t="shared" si="92"/>
        <v>345.16550310248078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6.9247605880336439E-8</v>
      </c>
      <c r="BS91" s="24">
        <f t="shared" si="63"/>
        <v>6.9247605880336439E-8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79.099999999999994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10.288044000000001</v>
      </c>
      <c r="D92" s="12">
        <f t="shared" si="86"/>
        <v>3.6145092326635471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13.95133412119921</v>
      </c>
      <c r="H92" s="70">
        <f t="shared" si="56"/>
        <v>314.24694688022231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326.70000000000186</v>
      </c>
      <c r="S92" s="62">
        <f ca="1">AVERAGE(OFFSET($R$3,0,0,'Données projet'!$E$9+1,1))-AVERAGE(OFFSET($H$3,0,0,'Données projet'!$E$9+1,1))</f>
        <v>358.51982625142648</v>
      </c>
      <c r="T92" s="62">
        <f t="shared" si="88"/>
        <v>432.55677461330856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0.33235942298045684</v>
      </c>
      <c r="AB92" s="23">
        <f>EXP(-LN(2)/2)*AB91+(1-EXP(-LN(2)/2))/(LN(2)/2)*V92*Y92*VLOOKUP('Données projet'!$B$9,Paramètres!$A$1:$I$89,3,0)*0.475*44/12</f>
        <v>3.3573503418153607E-8</v>
      </c>
      <c r="AC92" s="24">
        <f t="shared" si="57"/>
        <v>0.33235945655396026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-1.064108801074326E-13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264.16738206207805</v>
      </c>
      <c r="AO92" s="62">
        <f t="shared" si="90"/>
        <v>233.21990345647771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3.207708382118037E-8</v>
      </c>
      <c r="AX92" s="23">
        <f t="shared" si="60"/>
        <v>3.207708382118037E-8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2.8</v>
      </c>
      <c r="BD92" s="13">
        <f>IF('Données projet'!$A$88&gt;35,BD91+BC92-BL91,IF(A92&lt;'Données projet'!$A$88,$BA$205^A92,IF(A92='Données projet'!$A$88,'Données projet'!$B$88,BD91+BC92-BL91)))</f>
        <v>233.20000000000002</v>
      </c>
      <c r="BE92" s="14">
        <f>BD92*VLOOKUP('Données projet'!$B$11,Paramètres!$A$1:$I$89,3,0)*VLOOKUP('Données projet'!$B$11,Paramètres!$A$1:$I$89,5,0)</f>
        <v>203.72352000000004</v>
      </c>
      <c r="BF92" s="14">
        <f t="shared" si="91"/>
        <v>50.561604122231515</v>
      </c>
      <c r="BG92" s="22">
        <f t="shared" si="61"/>
        <v>442.87992451288659</v>
      </c>
      <c r="BH92" s="62">
        <f t="shared" si="62"/>
        <v>769.57992451288658</v>
      </c>
      <c r="BI92" s="62">
        <f ca="1">AVERAGE(OFFSET($BH$3,0,0,'Données projet'!$E$11+1,1))-AVERAGE(OFFSET($H$3,0,0,'Données projet'!$E$11+1,1))</f>
        <v>316.00112010575197</v>
      </c>
      <c r="BJ92" s="62">
        <f t="shared" si="92"/>
        <v>345.16550310248078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4.896545169891934E-8</v>
      </c>
      <c r="BS92" s="24">
        <f t="shared" si="63"/>
        <v>4.896545169891934E-8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79.099999999999994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10.403640000000001</v>
      </c>
      <c r="D93" s="12">
        <f t="shared" si="86"/>
        <v>3.6503710362820279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14.10332335570758</v>
      </c>
      <c r="H93" s="70">
        <f t="shared" si="56"/>
        <v>314.51073588819116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326.70000000000186</v>
      </c>
      <c r="S93" s="62">
        <f ca="1">AVERAGE(OFFSET($R$3,0,0,'Données projet'!$E$9+1,1))-AVERAGE(OFFSET($H$3,0,0,'Données projet'!$E$9+1,1))</f>
        <v>358.51982625142648</v>
      </c>
      <c r="T93" s="62">
        <f t="shared" si="88"/>
        <v>432.55677461330856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0.32327103708103383</v>
      </c>
      <c r="AB93" s="23">
        <f>EXP(-LN(2)/2)*AB92+(1-EXP(-LN(2)/2))/(LN(2)/2)*V93*Y93*VLOOKUP('Données projet'!$B$9,Paramètres!$A$1:$I$89,3,0)*0.475*44/12</f>
        <v>2.3740051935166149E-8</v>
      </c>
      <c r="AC93" s="24">
        <f t="shared" si="57"/>
        <v>0.32327106082108575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-1.064108801074326E-13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264.16738206207805</v>
      </c>
      <c r="AO93" s="62">
        <f t="shared" si="90"/>
        <v>233.21990345647771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2.2681923490645932E-8</v>
      </c>
      <c r="AX93" s="23">
        <f t="shared" si="60"/>
        <v>2.2681923490645932E-8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236</v>
      </c>
      <c r="BB93" s="13">
        <f>VLOOKUP(A93,'Données projet'!$A$87:$I$107,9,0)</f>
        <v>2.8</v>
      </c>
      <c r="BC93" s="13">
        <f t="array" ref="BC93">INDEX(BB:BB,MIN(IF(ISNUMBER(BB93:BB289),ROW(BB93:BB289),"")))</f>
        <v>2.8</v>
      </c>
      <c r="BD93" s="13">
        <f>IF('Données projet'!$A$88&gt;35,BD92+BC93-BL92,IF(A93&lt;'Données projet'!$A$88,$BA$205^A93,IF(A93='Données projet'!$A$88,'Données projet'!$B$88,BD92+BC93-BL92)))</f>
        <v>236.00000000000003</v>
      </c>
      <c r="BE93" s="14">
        <f>BD93*VLOOKUP('Données projet'!$B$11,Paramètres!$A$1:$I$89,3,0)*VLOOKUP('Données projet'!$B$11,Paramètres!$A$1:$I$89,5,0)</f>
        <v>206.16960000000006</v>
      </c>
      <c r="BF93" s="14">
        <f t="shared" si="91"/>
        <v>51.097652263007333</v>
      </c>
      <c r="BG93" s="22">
        <f t="shared" si="61"/>
        <v>448.07379769140448</v>
      </c>
      <c r="BH93" s="62">
        <f t="shared" si="62"/>
        <v>774.77379769140452</v>
      </c>
      <c r="BI93" s="62">
        <f ca="1">AVERAGE(OFFSET($BH$3,0,0,'Données projet'!$E$11+1,1))-AVERAGE(OFFSET($H$3,0,0,'Données projet'!$E$11+1,1))</f>
        <v>316.00112010575197</v>
      </c>
      <c r="BJ93" s="62">
        <f t="shared" si="92"/>
        <v>345.16550310248078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3.4623802940168219E-8</v>
      </c>
      <c r="BS93" s="24">
        <f t="shared" si="63"/>
        <v>3.4623802940168219E-8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79.099999999999994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10.519236000000001</v>
      </c>
      <c r="D94" s="12">
        <f t="shared" si="86"/>
        <v>3.6861864876061508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14.255266075281964</v>
      </c>
      <c r="H94" s="70">
        <f t="shared" si="56"/>
        <v>314.77444416591402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326.70000000000186</v>
      </c>
      <c r="S94" s="62">
        <f ca="1">AVERAGE(OFFSET($R$3,0,0,'Données projet'!$E$9+1,1))-AVERAGE(OFFSET($H$3,0,0,'Données projet'!$E$9+1,1))</f>
        <v>358.51982625142648</v>
      </c>
      <c r="T94" s="62">
        <f t="shared" si="88"/>
        <v>432.55677461330856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0.31443117357196798</v>
      </c>
      <c r="AB94" s="23">
        <f>EXP(-LN(2)/2)*AB93+(1-EXP(-LN(2)/2))/(LN(2)/2)*V94*Y94*VLOOKUP('Données projet'!$B$9,Paramètres!$A$1:$I$89,3,0)*0.475*44/12</f>
        <v>1.6786751709076804E-8</v>
      </c>
      <c r="AC94" s="24">
        <f t="shared" si="57"/>
        <v>0.31443119035871969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-1.064108801074326E-13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264.16738206207805</v>
      </c>
      <c r="AO94" s="62">
        <f t="shared" si="90"/>
        <v>233.21990345647771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1.6038541910590185E-8</v>
      </c>
      <c r="AX94" s="23">
        <f t="shared" si="60"/>
        <v>1.6038541910590185E-8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2.8421709430404007E-14</v>
      </c>
      <c r="BE94" s="14">
        <f>BD94*VLOOKUP('Données projet'!$B$11,Paramètres!$A$1:$I$89,3,0)*VLOOKUP('Données projet'!$B$11,Paramètres!$A$1:$I$89,5,0)</f>
        <v>2.4829205358400945E-14</v>
      </c>
      <c r="BF94" s="14">
        <f t="shared" si="91"/>
        <v>4.3867331143352915E-13</v>
      </c>
      <c r="BG94" s="22">
        <f t="shared" si="61"/>
        <v>8.0726688341261168E-13</v>
      </c>
      <c r="BH94" s="62">
        <f t="shared" si="62"/>
        <v>326.70000000000078</v>
      </c>
      <c r="BI94" s="62">
        <f ca="1">AVERAGE(OFFSET($BH$3,0,0,'Données projet'!$E$11+1,1))-AVERAGE(OFFSET($H$3,0,0,'Données projet'!$E$11+1,1))</f>
        <v>316.00112010575197</v>
      </c>
      <c r="BJ94" s="62">
        <f t="shared" si="92"/>
        <v>345.16550310248078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2.448272584945967E-8</v>
      </c>
      <c r="BS94" s="24">
        <f t="shared" si="63"/>
        <v>2.448272584945967E-8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79.099999999999994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10.634832000000001</v>
      </c>
      <c r="D95" s="12">
        <f t="shared" si="86"/>
        <v>3.7219561549514308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14.407162850231963</v>
      </c>
      <c r="H95" s="70">
        <f t="shared" si="56"/>
        <v>315.03807270320704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326.70000000000186</v>
      </c>
      <c r="S95" s="62">
        <f ca="1">AVERAGE(OFFSET($R$3,0,0,'Données projet'!$E$9+1,1))-AVERAGE(OFFSET($H$3,0,0,'Données projet'!$E$9+1,1))</f>
        <v>358.51982625142648</v>
      </c>
      <c r="T95" s="62">
        <f t="shared" si="88"/>
        <v>432.55677461330856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0.30583303659542577</v>
      </c>
      <c r="AB95" s="23">
        <f>EXP(-LN(2)/2)*AB94+(1-EXP(-LN(2)/2))/(LN(2)/2)*V95*Y95*VLOOKUP('Données projet'!$B$9,Paramètres!$A$1:$I$89,3,0)*0.475*44/12</f>
        <v>1.1870025967583074E-8</v>
      </c>
      <c r="AC95" s="24">
        <f t="shared" si="57"/>
        <v>0.30583304846545173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-1.064108801074326E-13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264.16738206207805</v>
      </c>
      <c r="AO95" s="62">
        <f t="shared" si="90"/>
        <v>233.21990345647771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1.1340961745322966E-8</v>
      </c>
      <c r="AX95" s="23">
        <f t="shared" si="60"/>
        <v>1.1340961745322966E-8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2.8421709430404007E-14</v>
      </c>
      <c r="BE95" s="14">
        <f>BD95*VLOOKUP('Données projet'!$B$11,Paramètres!$A$1:$I$89,3,0)*VLOOKUP('Données projet'!$B$11,Paramètres!$A$1:$I$89,5,0)</f>
        <v>2.4829205358400945E-14</v>
      </c>
      <c r="BF95" s="14">
        <f t="shared" si="91"/>
        <v>4.3867331143352915E-13</v>
      </c>
      <c r="BG95" s="22">
        <f t="shared" si="61"/>
        <v>8.0726688341261168E-13</v>
      </c>
      <c r="BH95" s="62">
        <f t="shared" si="62"/>
        <v>326.70000000000078</v>
      </c>
      <c r="BI95" s="62">
        <f ca="1">AVERAGE(OFFSET($BH$3,0,0,'Données projet'!$E$11+1,1))-AVERAGE(OFFSET($H$3,0,0,'Données projet'!$E$11+1,1))</f>
        <v>316.00112010575197</v>
      </c>
      <c r="BJ95" s="62">
        <f t="shared" si="92"/>
        <v>345.16550310248078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1.731190147008411E-8</v>
      </c>
      <c r="BS95" s="24">
        <f t="shared" si="63"/>
        <v>1.731190147008411E-8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79.099999999999994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10.750428000000001</v>
      </c>
      <c r="D96" s="12">
        <f t="shared" si="86"/>
        <v>3.7576805935671547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14.559014237755113</v>
      </c>
      <c r="H96" s="70">
        <f t="shared" si="56"/>
        <v>315.30162246712945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326.70000000000186</v>
      </c>
      <c r="S96" s="62">
        <f ca="1">AVERAGE(OFFSET($R$3,0,0,'Données projet'!$E$9+1,1))-AVERAGE(OFFSET($H$3,0,0,'Données projet'!$E$9+1,1))</f>
        <v>358.51982625142648</v>
      </c>
      <c r="T96" s="62">
        <f t="shared" si="88"/>
        <v>432.55677461330856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0.29747001612666346</v>
      </c>
      <c r="AB96" s="23">
        <f>EXP(-LN(2)/2)*AB95+(1-EXP(-LN(2)/2))/(LN(2)/2)*V96*Y96*VLOOKUP('Données projet'!$B$9,Paramètres!$A$1:$I$89,3,0)*0.475*44/12</f>
        <v>8.3933758545384019E-9</v>
      </c>
      <c r="AC96" s="24">
        <f t="shared" si="57"/>
        <v>0.29747002452003929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-1.064108801074326E-13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264.16738206207805</v>
      </c>
      <c r="AO96" s="62">
        <f t="shared" si="90"/>
        <v>233.21990345647771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8.0192709552950925E-9</v>
      </c>
      <c r="AX96" s="23">
        <f t="shared" si="60"/>
        <v>8.0192709552950925E-9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2.8421709430404007E-14</v>
      </c>
      <c r="BE96" s="14">
        <f>BD96*VLOOKUP('Données projet'!$B$11,Paramètres!$A$1:$I$89,3,0)*VLOOKUP('Données projet'!$B$11,Paramètres!$A$1:$I$89,5,0)</f>
        <v>2.4829205358400945E-14</v>
      </c>
      <c r="BF96" s="14">
        <f t="shared" si="91"/>
        <v>4.3867331143352915E-13</v>
      </c>
      <c r="BG96" s="22">
        <f t="shared" si="61"/>
        <v>8.0726688341261168E-13</v>
      </c>
      <c r="BH96" s="62">
        <f t="shared" si="62"/>
        <v>326.70000000000078</v>
      </c>
      <c r="BI96" s="62">
        <f ca="1">AVERAGE(OFFSET($BH$3,0,0,'Données projet'!$E$11+1,1))-AVERAGE(OFFSET($H$3,0,0,'Données projet'!$E$11+1,1))</f>
        <v>316.00112010575197</v>
      </c>
      <c r="BJ96" s="62">
        <f t="shared" si="92"/>
        <v>345.16550310248078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1.2241362924729835E-8</v>
      </c>
      <c r="BS96" s="24">
        <f t="shared" si="63"/>
        <v>1.2241362924729835E-8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79.099999999999994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10.866024000000001</v>
      </c>
      <c r="D97" s="12">
        <f t="shared" si="86"/>
        <v>3.7933603460739902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14.710820782376009</v>
      </c>
      <c r="H97" s="70">
        <f t="shared" si="56"/>
        <v>315.5650944027455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326.70000000000186</v>
      </c>
      <c r="S97" s="62">
        <f ca="1">AVERAGE(OFFSET($R$3,0,0,'Données projet'!$E$9+1,1))-AVERAGE(OFFSET($H$3,0,0,'Données projet'!$E$9+1,1))</f>
        <v>358.51982625142648</v>
      </c>
      <c r="T97" s="62">
        <f t="shared" si="88"/>
        <v>432.55677461330856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0.28933568289241157</v>
      </c>
      <c r="AB97" s="23">
        <f>EXP(-LN(2)/2)*AB96+(1-EXP(-LN(2)/2))/(LN(2)/2)*V97*Y97*VLOOKUP('Données projet'!$B$9,Paramètres!$A$1:$I$89,3,0)*0.475*44/12</f>
        <v>5.9350129837915372E-9</v>
      </c>
      <c r="AC97" s="24">
        <f t="shared" si="57"/>
        <v>0.28933568882742455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-1.064108801074326E-13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264.16738206207805</v>
      </c>
      <c r="AO97" s="62">
        <f t="shared" si="90"/>
        <v>233.21990345647771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5.670480872661483E-9</v>
      </c>
      <c r="AX97" s="23">
        <f t="shared" si="60"/>
        <v>5.670480872661483E-9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2.8421709430404007E-14</v>
      </c>
      <c r="BE97" s="14">
        <f>BD97*VLOOKUP('Données projet'!$B$11,Paramètres!$A$1:$I$89,3,0)*VLOOKUP('Données projet'!$B$11,Paramètres!$A$1:$I$89,5,0)</f>
        <v>2.4829205358400945E-14</v>
      </c>
      <c r="BF97" s="14">
        <f t="shared" si="91"/>
        <v>4.3867331143352915E-13</v>
      </c>
      <c r="BG97" s="22">
        <f t="shared" si="61"/>
        <v>8.0726688341261168E-13</v>
      </c>
      <c r="BH97" s="62">
        <f t="shared" si="62"/>
        <v>326.70000000000078</v>
      </c>
      <c r="BI97" s="62">
        <f ca="1">AVERAGE(OFFSET($BH$3,0,0,'Données projet'!$E$11+1,1))-AVERAGE(OFFSET($H$3,0,0,'Données projet'!$E$11+1,1))</f>
        <v>316.00112010575197</v>
      </c>
      <c r="BJ97" s="62">
        <f t="shared" si="92"/>
        <v>345.16550310248078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8.6559507350420548E-9</v>
      </c>
      <c r="BS97" s="24">
        <f t="shared" si="63"/>
        <v>8.6559507350420548E-9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79.099999999999994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10.981620000000001</v>
      </c>
      <c r="D98" s="12">
        <f t="shared" si="86"/>
        <v>3.8289959428824343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14.862583016366235</v>
      </c>
      <c r="H98" s="70">
        <f t="shared" si="56"/>
        <v>315.82848943385352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326.70000000000186</v>
      </c>
      <c r="S98" s="62">
        <f ca="1">AVERAGE(OFFSET($R$3,0,0,'Données projet'!$E$9+1,1))-AVERAGE(OFFSET($H$3,0,0,'Données projet'!$E$9+1,1))</f>
        <v>358.51982625142648</v>
      </c>
      <c r="T98" s="62">
        <f t="shared" si="88"/>
        <v>432.55677461330856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0.28142378342821628</v>
      </c>
      <c r="AB98" s="23">
        <f>EXP(-LN(2)/2)*AB97+(1-EXP(-LN(2)/2))/(LN(2)/2)*V98*Y98*VLOOKUP('Données projet'!$B$9,Paramètres!$A$1:$I$89,3,0)*0.475*44/12</f>
        <v>4.1966879272692009E-9</v>
      </c>
      <c r="AC98" s="24">
        <f t="shared" si="57"/>
        <v>0.28142378762490422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-1.064108801074326E-13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264.16738206207805</v>
      </c>
      <c r="AO98" s="62">
        <f t="shared" si="90"/>
        <v>233.21990345647771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4.0096354776475463E-9</v>
      </c>
      <c r="AX98" s="23">
        <f t="shared" si="60"/>
        <v>4.0096354776475463E-9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2.8421709430404007E-14</v>
      </c>
      <c r="BE98" s="14">
        <f>BD98*VLOOKUP('Données projet'!$B$11,Paramètres!$A$1:$I$89,3,0)*VLOOKUP('Données projet'!$B$11,Paramètres!$A$1:$I$89,5,0)</f>
        <v>2.4829205358400945E-14</v>
      </c>
      <c r="BF98" s="14">
        <f t="shared" si="91"/>
        <v>4.3867331143352915E-13</v>
      </c>
      <c r="BG98" s="22">
        <f t="shared" si="61"/>
        <v>8.0726688341261168E-13</v>
      </c>
      <c r="BH98" s="62">
        <f t="shared" si="62"/>
        <v>326.70000000000078</v>
      </c>
      <c r="BI98" s="62">
        <f ca="1">AVERAGE(OFFSET($BH$3,0,0,'Données projet'!$E$11+1,1))-AVERAGE(OFFSET($H$3,0,0,'Données projet'!$E$11+1,1))</f>
        <v>316.00112010575197</v>
      </c>
      <c r="BJ98" s="62">
        <f t="shared" si="92"/>
        <v>345.16550310248078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6.1206814623649175E-9</v>
      </c>
      <c r="BS98" s="24">
        <f t="shared" si="63"/>
        <v>6.1206814623649175E-9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79.099999999999994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11.097216000000001</v>
      </c>
      <c r="D99" s="12">
        <f t="shared" si="86"/>
        <v>3.864587902593144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15.014301460146106</v>
      </c>
      <c r="H99" s="70">
        <f t="shared" si="56"/>
        <v>316.09180846368304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326.70000000000186</v>
      </c>
      <c r="S99" s="62">
        <f ca="1">AVERAGE(OFFSET($R$3,0,0,'Données projet'!$E$9+1,1))-AVERAGE(OFFSET($H$3,0,0,'Données projet'!$E$9+1,1))</f>
        <v>358.51982625142648</v>
      </c>
      <c r="T99" s="62">
        <f t="shared" si="88"/>
        <v>432.55677461330856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0.27372823527093815</v>
      </c>
      <c r="AB99" s="23">
        <f>EXP(-LN(2)/2)*AB98+(1-EXP(-LN(2)/2))/(LN(2)/2)*V99*Y99*VLOOKUP('Données projet'!$B$9,Paramètres!$A$1:$I$89,3,0)*0.475*44/12</f>
        <v>2.9675064918957686E-9</v>
      </c>
      <c r="AC99" s="24">
        <f t="shared" si="57"/>
        <v>0.27372823823844467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-1.064108801074326E-13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264.16738206207805</v>
      </c>
      <c r="AO99" s="62">
        <f t="shared" si="90"/>
        <v>233.21990345647771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2.8352404363307415E-9</v>
      </c>
      <c r="AX99" s="23">
        <f t="shared" si="60"/>
        <v>2.8352404363307415E-9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2.8421709430404007E-14</v>
      </c>
      <c r="BE99" s="14">
        <f>BD99*VLOOKUP('Données projet'!$B$11,Paramètres!$A$1:$I$89,3,0)*VLOOKUP('Données projet'!$B$11,Paramètres!$A$1:$I$89,5,0)</f>
        <v>2.4829205358400945E-14</v>
      </c>
      <c r="BF99" s="14">
        <f t="shared" si="91"/>
        <v>4.3867331143352915E-13</v>
      </c>
      <c r="BG99" s="22">
        <f t="shared" si="61"/>
        <v>8.0726688341261168E-13</v>
      </c>
      <c r="BH99" s="62">
        <f t="shared" si="62"/>
        <v>326.70000000000078</v>
      </c>
      <c r="BI99" s="62">
        <f ca="1">AVERAGE(OFFSET($BH$3,0,0,'Données projet'!$E$11+1,1))-AVERAGE(OFFSET($H$3,0,0,'Données projet'!$E$11+1,1))</f>
        <v>316.00112010575197</v>
      </c>
      <c r="BJ99" s="62">
        <f t="shared" si="92"/>
        <v>345.16550310248078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4.3279753675210274E-9</v>
      </c>
      <c r="BS99" s="24">
        <f t="shared" si="63"/>
        <v>4.3279753675210274E-9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79.099999999999994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11.212812000000001</v>
      </c>
      <c r="D100" s="12">
        <f t="shared" si="86"/>
        <v>3.9001367323801057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15.165976622669163</v>
      </c>
      <c r="H100" s="70">
        <f t="shared" si="56"/>
        <v>316.35505237556197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326.70000000000186</v>
      </c>
      <c r="S100" s="62">
        <f ca="1">AVERAGE(OFFSET($R$3,0,0,'Données projet'!$E$9+1,1))-AVERAGE(OFFSET($H$3,0,0,'Données projet'!$E$9+1,1))</f>
        <v>358.51982625142648</v>
      </c>
      <c r="T100" s="62">
        <f t="shared" si="88"/>
        <v>432.55677461330856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0.26624312228271207</v>
      </c>
      <c r="AB100" s="23">
        <f>EXP(-LN(2)/2)*AB99+(1-EXP(-LN(2)/2))/(LN(2)/2)*V100*Y100*VLOOKUP('Données projet'!$B$9,Paramètres!$A$1:$I$89,3,0)*0.475*44/12</f>
        <v>2.0983439636346005E-9</v>
      </c>
      <c r="AC100" s="24">
        <f t="shared" si="57"/>
        <v>0.26624312438105602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-1.064108801074326E-13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264.16738206207805</v>
      </c>
      <c r="AO100" s="62">
        <f t="shared" si="90"/>
        <v>233.21990345647771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2.0048177388237731E-9</v>
      </c>
      <c r="AX100" s="23">
        <f t="shared" si="60"/>
        <v>2.0048177388237731E-9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2.8421709430404007E-14</v>
      </c>
      <c r="BE100" s="14">
        <f>BD100*VLOOKUP('Données projet'!$B$11,Paramètres!$A$1:$I$89,3,0)*VLOOKUP('Données projet'!$B$11,Paramètres!$A$1:$I$89,5,0)</f>
        <v>2.4829205358400945E-14</v>
      </c>
      <c r="BF100" s="14">
        <f t="shared" si="91"/>
        <v>4.3867331143352915E-13</v>
      </c>
      <c r="BG100" s="22">
        <f t="shared" si="61"/>
        <v>8.0726688341261168E-13</v>
      </c>
      <c r="BH100" s="62">
        <f t="shared" si="62"/>
        <v>326.70000000000078</v>
      </c>
      <c r="BI100" s="62">
        <f ca="1">AVERAGE(OFFSET($BH$3,0,0,'Données projet'!$E$11+1,1))-AVERAGE(OFFSET($H$3,0,0,'Données projet'!$E$11+1,1))</f>
        <v>316.00112010575197</v>
      </c>
      <c r="BJ100" s="62">
        <f t="shared" si="92"/>
        <v>345.16550310248078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3.0603407311824588E-9</v>
      </c>
      <c r="BS100" s="24">
        <f t="shared" si="63"/>
        <v>3.0603407311824588E-9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79.099999999999994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11.328408000000001</v>
      </c>
      <c r="D101" s="12">
        <f t="shared" si="86"/>
        <v>3.9356429283575549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15.317609001790393</v>
      </c>
      <c r="H101" s="70">
        <f t="shared" si="56"/>
        <v>316.61822203355604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326.70000000000186</v>
      </c>
      <c r="S101" s="62">
        <f ca="1">AVERAGE(OFFSET($R$3,0,0,'Données projet'!$E$9+1,1))-AVERAGE(OFFSET($H$3,0,0,'Données projet'!$E$9+1,1))</f>
        <v>358.51982625142648</v>
      </c>
      <c r="T101" s="62">
        <f t="shared" si="88"/>
        <v>432.55677461330856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0.25896269010277401</v>
      </c>
      <c r="AB101" s="23">
        <f>EXP(-LN(2)/2)*AB100+(1-EXP(-LN(2)/2))/(LN(2)/2)*V101*Y101*VLOOKUP('Données projet'!$B$9,Paramètres!$A$1:$I$89,3,0)*0.475*44/12</f>
        <v>1.4837532459478843E-9</v>
      </c>
      <c r="AC101" s="24">
        <f t="shared" si="57"/>
        <v>0.25896269158652724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-1.064108801074326E-13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264.16738206207805</v>
      </c>
      <c r="AO101" s="62">
        <f t="shared" si="90"/>
        <v>233.21990345647771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1.4176202181653707E-9</v>
      </c>
      <c r="AX101" s="23">
        <f t="shared" si="60"/>
        <v>1.4176202181653707E-9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2.8421709430404007E-14</v>
      </c>
      <c r="BE101" s="14">
        <f>BD101*VLOOKUP('Données projet'!$B$11,Paramètres!$A$1:$I$89,3,0)*VLOOKUP('Données projet'!$B$11,Paramètres!$A$1:$I$89,5,0)</f>
        <v>2.4829205358400945E-14</v>
      </c>
      <c r="BF101" s="14">
        <f t="shared" si="91"/>
        <v>4.3867331143352915E-13</v>
      </c>
      <c r="BG101" s="22">
        <f t="shared" si="61"/>
        <v>8.0726688341261168E-13</v>
      </c>
      <c r="BH101" s="62">
        <f t="shared" si="62"/>
        <v>326.70000000000078</v>
      </c>
      <c r="BI101" s="62">
        <f ca="1">AVERAGE(OFFSET($BH$3,0,0,'Données projet'!$E$11+1,1))-AVERAGE(OFFSET($H$3,0,0,'Données projet'!$E$11+1,1))</f>
        <v>316.00112010575197</v>
      </c>
      <c r="BJ101" s="62">
        <f t="shared" si="92"/>
        <v>345.16550310248078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2.1639876837605137E-9</v>
      </c>
      <c r="BS101" s="24">
        <f t="shared" si="63"/>
        <v>2.1639876837605137E-9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79.099999999999994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11.444004000000001</v>
      </c>
      <c r="D102" s="12">
        <f t="shared" si="86"/>
        <v>3.9711069759314959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15.469199084618978</v>
      </c>
      <c r="H102" s="70">
        <f t="shared" si="56"/>
        <v>316.88131828308065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326.70000000000186</v>
      </c>
      <c r="S102" s="62">
        <f ca="1">AVERAGE(OFFSET($R$3,0,0,'Données projet'!$E$9+1,1))-AVERAGE(OFFSET($H$3,0,0,'Données projet'!$E$9+1,1))</f>
        <v>358.51982625142648</v>
      </c>
      <c r="T102" s="62">
        <f t="shared" si="88"/>
        <v>432.55677461330856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0.25188134172365767</v>
      </c>
      <c r="AB102" s="23">
        <f>EXP(-LN(2)/2)*AB101+(1-EXP(-LN(2)/2))/(LN(2)/2)*V102*Y102*VLOOKUP('Données projet'!$B$9,Paramètres!$A$1:$I$89,3,0)*0.475*44/12</f>
        <v>1.0491719818173002E-9</v>
      </c>
      <c r="AC102" s="24">
        <f t="shared" si="57"/>
        <v>0.25188134277282964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-1.064108801074326E-13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264.16738206207805</v>
      </c>
      <c r="AO102" s="62">
        <f t="shared" si="90"/>
        <v>233.21990345647771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1.0024088694118866E-9</v>
      </c>
      <c r="AX102" s="23">
        <f t="shared" si="60"/>
        <v>1.0024088694118866E-9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2.8421709430404007E-14</v>
      </c>
      <c r="BE102" s="14">
        <f>BD102*VLOOKUP('Données projet'!$B$11,Paramètres!$A$1:$I$89,3,0)*VLOOKUP('Données projet'!$B$11,Paramètres!$A$1:$I$89,5,0)</f>
        <v>2.4829205358400945E-14</v>
      </c>
      <c r="BF102" s="14">
        <f t="shared" si="91"/>
        <v>4.3867331143352915E-13</v>
      </c>
      <c r="BG102" s="22">
        <f t="shared" si="61"/>
        <v>8.0726688341261168E-13</v>
      </c>
      <c r="BH102" s="62">
        <f t="shared" si="62"/>
        <v>326.70000000000078</v>
      </c>
      <c r="BI102" s="62">
        <f ca="1">AVERAGE(OFFSET($BH$3,0,0,'Données projet'!$E$11+1,1))-AVERAGE(OFFSET($H$3,0,0,'Données projet'!$E$11+1,1))</f>
        <v>316.00112010575197</v>
      </c>
      <c r="BJ102" s="62">
        <f t="shared" si="92"/>
        <v>345.16550310248078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1.5301703655912294E-9</v>
      </c>
      <c r="BS102" s="24">
        <f t="shared" si="63"/>
        <v>1.5301703655912294E-9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79.099999999999994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03" s="12">
        <f t="shared" si="86"/>
        <v>4.0065293501366055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15.620747347856385</v>
      </c>
      <c r="H103" s="70">
        <f t="shared" si="56"/>
        <v>317.14434195148789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326.70000000000186</v>
      </c>
      <c r="S103" s="62">
        <f ca="1">AVERAGE(OFFSET($R$3,0,0,'Données projet'!$E$9+1,1))-AVERAGE(OFFSET($H$3,0,0,'Données projet'!$E$9+1,1))</f>
        <v>358.51982625142648</v>
      </c>
      <c r="T103" s="62">
        <f t="shared" si="88"/>
        <v>432.55677461330856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0.24499363318836018</v>
      </c>
      <c r="AB103" s="23">
        <f>EXP(-LN(2)/2)*AB102+(1-EXP(-LN(2)/2))/(LN(2)/2)*V103*Y103*VLOOKUP('Données projet'!$B$9,Paramètres!$A$1:$I$89,3,0)*0.475*44/12</f>
        <v>7.4187662297394215E-10</v>
      </c>
      <c r="AC103" s="24">
        <f t="shared" si="57"/>
        <v>0.24499363393023679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264.16738206207805</v>
      </c>
      <c r="AO103" s="62">
        <f t="shared" si="90"/>
        <v>233.21990345647771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7.0881010908268537E-10</v>
      </c>
      <c r="AX103" s="23">
        <f t="shared" si="60"/>
        <v>7.0881010908268537E-10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2.8421709430404007E-14</v>
      </c>
      <c r="BE103" s="14">
        <f>BD103*VLOOKUP('Données projet'!$B$11,Paramètres!$A$1:$I$89,3,0)*VLOOKUP('Données projet'!$B$11,Paramètres!$A$1:$I$89,5,0)</f>
        <v>2.4829205358400945E-14</v>
      </c>
      <c r="BF103" s="14">
        <f t="shared" si="91"/>
        <v>4.3867331143352915E-13</v>
      </c>
      <c r="BG103" s="22">
        <f t="shared" si="61"/>
        <v>8.0726688341261168E-13</v>
      </c>
      <c r="BH103" s="62">
        <f t="shared" si="62"/>
        <v>326.70000000000078</v>
      </c>
      <c r="BI103" s="62">
        <f ca="1">AVERAGE(OFFSET($BH$3,0,0,'Données projet'!$E$11+1,1))-AVERAGE(OFFSET($H$3,0,0,'Données projet'!$E$11+1,1))</f>
        <v>316.00112010575197</v>
      </c>
      <c r="BJ103" s="62">
        <f t="shared" si="92"/>
        <v>345.16550310248078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1.0819938418802569E-9</v>
      </c>
      <c r="BS103" s="24">
        <f t="shared" si="63"/>
        <v>1.0819938418802569E-9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79.099999999999994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11.675196000000001</v>
      </c>
      <c r="D104" s="12">
        <f t="shared" si="86"/>
        <v>4.0419105159592741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15.772254258120538</v>
      </c>
      <c r="H104" s="70">
        <f t="shared" si="56"/>
        <v>317.40729384862902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326.70000000000186</v>
      </c>
      <c r="S104" s="62">
        <f ca="1">AVERAGE(OFFSET($R$3,0,0,'Données projet'!$E$9+1,1))-AVERAGE(OFFSET($H$3,0,0,'Données projet'!$E$9+1,1))</f>
        <v>358.51982625142648</v>
      </c>
      <c r="T104" s="62">
        <f t="shared" si="88"/>
        <v>432.55677461330856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0.23829426940516923</v>
      </c>
      <c r="AB104" s="23">
        <f>EXP(-LN(2)/2)*AB103+(1-EXP(-LN(2)/2))/(LN(2)/2)*V104*Y104*VLOOKUP('Données projet'!$B$9,Paramètres!$A$1:$I$89,3,0)*0.475*44/12</f>
        <v>5.2458599090865012E-10</v>
      </c>
      <c r="AC104" s="24">
        <f t="shared" si="57"/>
        <v>0.23829426992975522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264.16738206207805</v>
      </c>
      <c r="AO104" s="62">
        <f t="shared" si="90"/>
        <v>233.21990345647771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5.0120443470594328E-10</v>
      </c>
      <c r="AX104" s="23">
        <f t="shared" si="60"/>
        <v>5.0120443470594328E-10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2.8421709430404007E-14</v>
      </c>
      <c r="BE104" s="14">
        <f>BD104*VLOOKUP('Données projet'!$B$11,Paramètres!$A$1:$I$89,3,0)*VLOOKUP('Données projet'!$B$11,Paramètres!$A$1:$I$89,5,0)</f>
        <v>2.4829205358400945E-14</v>
      </c>
      <c r="BF104" s="14">
        <f t="shared" si="91"/>
        <v>4.3867331143352915E-13</v>
      </c>
      <c r="BG104" s="22">
        <f t="shared" si="61"/>
        <v>8.0726688341261168E-13</v>
      </c>
      <c r="BH104" s="62">
        <f t="shared" si="62"/>
        <v>326.70000000000078</v>
      </c>
      <c r="BI104" s="62">
        <f ca="1">AVERAGE(OFFSET($BH$3,0,0,'Données projet'!$E$11+1,1))-AVERAGE(OFFSET($H$3,0,0,'Données projet'!$E$11+1,1))</f>
        <v>316.00112010575197</v>
      </c>
      <c r="BJ104" s="62">
        <f t="shared" si="92"/>
        <v>345.16550310248078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7.6508518279561469E-10</v>
      </c>
      <c r="BS104" s="24">
        <f t="shared" si="63"/>
        <v>7.6508518279561469E-10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79.099999999999994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11.790792000000001</v>
      </c>
      <c r="D105" s="12">
        <f t="shared" si="86"/>
        <v>4.0772509286475032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15.923720272256794</v>
      </c>
      <c r="H105" s="70">
        <f t="shared" si="56"/>
        <v>317.67017476739437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326.70000000000186</v>
      </c>
      <c r="S105" s="62">
        <f ca="1">AVERAGE(OFFSET($R$3,0,0,'Données projet'!$E$9+1,1))-AVERAGE(OFFSET($H$3,0,0,'Données projet'!$E$9+1,1))</f>
        <v>358.51982625142648</v>
      </c>
      <c r="T105" s="62">
        <f t="shared" si="88"/>
        <v>432.55677461330856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0.23177810007693389</v>
      </c>
      <c r="AB105" s="23">
        <f>EXP(-LN(2)/2)*AB104+(1-EXP(-LN(2)/2))/(LN(2)/2)*V105*Y105*VLOOKUP('Données projet'!$B$9,Paramètres!$A$1:$I$89,3,0)*0.475*44/12</f>
        <v>3.7093831148697108E-10</v>
      </c>
      <c r="AC105" s="24">
        <f t="shared" si="57"/>
        <v>0.2317781004478722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264.16738206207805</v>
      </c>
      <c r="AO105" s="62">
        <f t="shared" si="90"/>
        <v>233.21990345647771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3.5440505454134269E-10</v>
      </c>
      <c r="AX105" s="23">
        <f t="shared" si="60"/>
        <v>3.5440505454134269E-10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2.8421709430404007E-14</v>
      </c>
      <c r="BE105" s="14">
        <f>BD105*VLOOKUP('Données projet'!$B$11,Paramètres!$A$1:$I$89,3,0)*VLOOKUP('Données projet'!$B$11,Paramètres!$A$1:$I$89,5,0)</f>
        <v>2.4829205358400945E-14</v>
      </c>
      <c r="BF105" s="14">
        <f t="shared" si="91"/>
        <v>4.3867331143352915E-13</v>
      </c>
      <c r="BG105" s="22">
        <f t="shared" si="61"/>
        <v>8.0726688341261168E-13</v>
      </c>
      <c r="BH105" s="62">
        <f t="shared" si="62"/>
        <v>326.70000000000078</v>
      </c>
      <c r="BI105" s="62">
        <f ca="1">AVERAGE(OFFSET($BH$3,0,0,'Données projet'!$E$11+1,1))-AVERAGE(OFFSET($H$3,0,0,'Données projet'!$E$11+1,1))</f>
        <v>316.00112010575197</v>
      </c>
      <c r="BJ105" s="62">
        <f t="shared" si="92"/>
        <v>345.16550310248078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5.4099692094012843E-10</v>
      </c>
      <c r="BS105" s="24">
        <f t="shared" si="63"/>
        <v>5.4099692094012843E-10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79.099999999999994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11.906388000000002</v>
      </c>
      <c r="D106" s="12">
        <f t="shared" si="86"/>
        <v>4.1125510340082725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16.075145837636374</v>
      </c>
      <c r="H106" s="70">
        <f t="shared" si="56"/>
        <v>317.93298548423104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326.70000000000186</v>
      </c>
      <c r="S106" s="62">
        <f ca="1">AVERAGE(OFFSET($R$3,0,0,'Données projet'!$E$9+1,1))-AVERAGE(OFFSET($H$3,0,0,'Données projet'!$E$9+1,1))</f>
        <v>358.51982625142648</v>
      </c>
      <c r="T106" s="62">
        <f t="shared" si="88"/>
        <v>432.55677461330856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0.2254401157416496</v>
      </c>
      <c r="AB106" s="23">
        <f>EXP(-LN(2)/2)*AB105+(1-EXP(-LN(2)/2))/(LN(2)/2)*V106*Y106*VLOOKUP('Données projet'!$B$9,Paramètres!$A$1:$I$89,3,0)*0.475*44/12</f>
        <v>2.6229299545432506E-10</v>
      </c>
      <c r="AC106" s="24">
        <f t="shared" si="57"/>
        <v>0.22544011600394259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264.16738206207805</v>
      </c>
      <c r="AO106" s="62">
        <f t="shared" si="90"/>
        <v>233.21990345647771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2.5060221735297164E-10</v>
      </c>
      <c r="AX106" s="23">
        <f t="shared" si="60"/>
        <v>2.5060221735297164E-10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2.8421709430404007E-14</v>
      </c>
      <c r="BE106" s="14">
        <f>BD106*VLOOKUP('Données projet'!$B$11,Paramètres!$A$1:$I$89,3,0)*VLOOKUP('Données projet'!$B$11,Paramètres!$A$1:$I$89,5,0)</f>
        <v>2.4829205358400945E-14</v>
      </c>
      <c r="BF106" s="14">
        <f t="shared" si="91"/>
        <v>4.3867331143352915E-13</v>
      </c>
      <c r="BG106" s="22">
        <f t="shared" si="61"/>
        <v>8.0726688341261168E-13</v>
      </c>
      <c r="BH106" s="62">
        <f t="shared" si="62"/>
        <v>326.70000000000078</v>
      </c>
      <c r="BI106" s="62">
        <f ca="1">AVERAGE(OFFSET($BH$3,0,0,'Données projet'!$E$11+1,1))-AVERAGE(OFFSET($H$3,0,0,'Données projet'!$E$11+1,1))</f>
        <v>316.00112010575197</v>
      </c>
      <c r="BJ106" s="62">
        <f t="shared" si="92"/>
        <v>345.16550310248078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3.8254259139780735E-10</v>
      </c>
      <c r="BS106" s="24">
        <f t="shared" si="63"/>
        <v>3.8254259139780735E-10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79.099999999999994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12.021984000000002</v>
      </c>
      <c r="D107" s="12">
        <f t="shared" si="86"/>
        <v>4.1478112686930633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16.226531392442865</v>
      </c>
      <c r="H107" s="70">
        <f t="shared" si="56"/>
        <v>318.19572675964037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326.70000000000186</v>
      </c>
      <c r="S107" s="62">
        <f ca="1">AVERAGE(OFFSET($R$3,0,0,'Données projet'!$E$9+1,1))-AVERAGE(OFFSET($H$3,0,0,'Données projet'!$E$9+1,1))</f>
        <v>358.51982625142648</v>
      </c>
      <c r="T107" s="62">
        <f t="shared" si="88"/>
        <v>432.55677461330856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0.21927544392131376</v>
      </c>
      <c r="AB107" s="23">
        <f>EXP(-LN(2)/2)*AB106+(1-EXP(-LN(2)/2))/(LN(2)/2)*V107*Y107*VLOOKUP('Données projet'!$B$9,Paramètres!$A$1:$I$89,3,0)*0.475*44/12</f>
        <v>1.8546915574348554E-10</v>
      </c>
      <c r="AC107" s="24">
        <f t="shared" si="57"/>
        <v>0.21927544410678293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264.16738206207805</v>
      </c>
      <c r="AO107" s="62">
        <f t="shared" si="90"/>
        <v>233.21990345647771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1.7720252727067134E-10</v>
      </c>
      <c r="AX107" s="23">
        <f t="shared" si="60"/>
        <v>1.7720252727067134E-10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2.8421709430404007E-14</v>
      </c>
      <c r="BE107" s="14">
        <f>BD107*VLOOKUP('Données projet'!$B$11,Paramètres!$A$1:$I$89,3,0)*VLOOKUP('Données projet'!$B$11,Paramètres!$A$1:$I$89,5,0)</f>
        <v>2.4829205358400945E-14</v>
      </c>
      <c r="BF107" s="14">
        <f t="shared" si="91"/>
        <v>4.3867331143352915E-13</v>
      </c>
      <c r="BG107" s="22">
        <f t="shared" si="61"/>
        <v>8.0726688341261168E-13</v>
      </c>
      <c r="BH107" s="62">
        <f t="shared" si="62"/>
        <v>326.70000000000078</v>
      </c>
      <c r="BI107" s="62">
        <f ca="1">AVERAGE(OFFSET($BH$3,0,0,'Données projet'!$E$11+1,1))-AVERAGE(OFFSET($H$3,0,0,'Données projet'!$E$11+1,1))</f>
        <v>316.00112010575197</v>
      </c>
      <c r="BJ107" s="62">
        <f t="shared" si="92"/>
        <v>345.16550310248078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2.7049846047006421E-10</v>
      </c>
      <c r="BS107" s="24">
        <f t="shared" si="63"/>
        <v>2.7049846047006421E-10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79.099999999999994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12.137580000000002</v>
      </c>
      <c r="D108" s="12">
        <f t="shared" si="86"/>
        <v>4.1830320604720672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16.377877365947409</v>
      </c>
      <c r="H108" s="70">
        <f t="shared" si="56"/>
        <v>318.45839933865551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326.70000000000186</v>
      </c>
      <c r="S108" s="62">
        <f ca="1">AVERAGE(OFFSET($R$3,0,0,'Données projet'!$E$9+1,1))-AVERAGE(OFFSET($H$3,0,0,'Données projet'!$E$9+1,1))</f>
        <v>358.51982625142648</v>
      </c>
      <c r="T108" s="62">
        <f t="shared" si="88"/>
        <v>432.55677461330856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0.213279345376091</v>
      </c>
      <c r="AB108" s="23">
        <f>EXP(-LN(2)/2)*AB107+(1-EXP(-LN(2)/2))/(LN(2)/2)*V108*Y108*VLOOKUP('Données projet'!$B$9,Paramètres!$A$1:$I$89,3,0)*0.475*44/12</f>
        <v>1.3114649772716253E-10</v>
      </c>
      <c r="AC108" s="24">
        <f t="shared" si="57"/>
        <v>0.21327934550723751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264.16738206207805</v>
      </c>
      <c r="AO108" s="62">
        <f t="shared" si="90"/>
        <v>233.21990345647771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1.2530110867648582E-10</v>
      </c>
      <c r="AX108" s="23">
        <f t="shared" si="60"/>
        <v>1.2530110867648582E-10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2.8421709430404007E-14</v>
      </c>
      <c r="BE108" s="14">
        <f>BD108*VLOOKUP('Données projet'!$B$11,Paramètres!$A$1:$I$89,3,0)*VLOOKUP('Données projet'!$B$11,Paramètres!$A$1:$I$89,5,0)</f>
        <v>2.4829205358400945E-14</v>
      </c>
      <c r="BF108" s="14">
        <f t="shared" si="91"/>
        <v>4.3867331143352915E-13</v>
      </c>
      <c r="BG108" s="22">
        <f t="shared" si="61"/>
        <v>8.0726688341261168E-13</v>
      </c>
      <c r="BH108" s="62">
        <f t="shared" si="62"/>
        <v>326.70000000000078</v>
      </c>
      <c r="BI108" s="62">
        <f ca="1">AVERAGE(OFFSET($BH$3,0,0,'Données projet'!$E$11+1,1))-AVERAGE(OFFSET($H$3,0,0,'Données projet'!$E$11+1,1))</f>
        <v>316.00112010575197</v>
      </c>
      <c r="BJ108" s="62">
        <f t="shared" si="92"/>
        <v>345.16550310248078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1.9127129569890367E-10</v>
      </c>
      <c r="BS108" s="24">
        <f t="shared" si="63"/>
        <v>1.9127129569890367E-10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79.099999999999994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12.253176000000002</v>
      </c>
      <c r="D109" s="12">
        <f t="shared" si="86"/>
        <v>4.2182138284976416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16.529184178773075</v>
      </c>
      <c r="H109" s="70">
        <f t="shared" si="56"/>
        <v>318.72100395130002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326.70000000000186</v>
      </c>
      <c r="S109" s="62">
        <f ca="1">AVERAGE(OFFSET($R$3,0,0,'Données projet'!$E$9+1,1))-AVERAGE(OFFSET($H$3,0,0,'Données projet'!$E$9+1,1))</f>
        <v>358.51982625142648</v>
      </c>
      <c r="T109" s="62">
        <f t="shared" si="88"/>
        <v>432.55677461330856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0.20744721046090847</v>
      </c>
      <c r="AB109" s="23">
        <f>EXP(-LN(2)/2)*AB108+(1-EXP(-LN(2)/2))/(LN(2)/2)*V109*Y109*VLOOKUP('Données projet'!$B$9,Paramètres!$A$1:$I$89,3,0)*0.475*44/12</f>
        <v>9.2734577871742769E-11</v>
      </c>
      <c r="AC109" s="24">
        <f t="shared" si="57"/>
        <v>0.20744721055364304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264.16738206207805</v>
      </c>
      <c r="AO109" s="62">
        <f t="shared" si="90"/>
        <v>233.21990345647771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8.8601263635335672E-11</v>
      </c>
      <c r="AX109" s="23">
        <f t="shared" si="60"/>
        <v>8.8601263635335672E-11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2.8421709430404007E-14</v>
      </c>
      <c r="BE109" s="14">
        <f>BD109*VLOOKUP('Données projet'!$B$11,Paramètres!$A$1:$I$89,3,0)*VLOOKUP('Données projet'!$B$11,Paramètres!$A$1:$I$89,5,0)</f>
        <v>2.4829205358400945E-14</v>
      </c>
      <c r="BF109" s="14">
        <f t="shared" si="91"/>
        <v>4.3867331143352915E-13</v>
      </c>
      <c r="BG109" s="22">
        <f t="shared" si="61"/>
        <v>8.0726688341261168E-13</v>
      </c>
      <c r="BH109" s="62">
        <f t="shared" si="62"/>
        <v>326.70000000000078</v>
      </c>
      <c r="BI109" s="62">
        <f ca="1">AVERAGE(OFFSET($BH$3,0,0,'Données projet'!$E$11+1,1))-AVERAGE(OFFSET($H$3,0,0,'Données projet'!$E$11+1,1))</f>
        <v>316.00112010575197</v>
      </c>
      <c r="BJ109" s="62">
        <f t="shared" si="92"/>
        <v>345.16550310248078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1.3524923023503211E-10</v>
      </c>
      <c r="BS109" s="24">
        <f t="shared" si="63"/>
        <v>1.3524923023503211E-10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79.099999999999994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12.368772000000002</v>
      </c>
      <c r="D110" s="12">
        <f t="shared" si="86"/>
        <v>4.2533569835575626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16.680452243148995</v>
      </c>
      <c r="H110" s="70">
        <f t="shared" si="56"/>
        <v>318.98354131302938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326.70000000000186</v>
      </c>
      <c r="S110" s="62">
        <f ca="1">AVERAGE(OFFSET($R$3,0,0,'Données projet'!$E$9+1,1))-AVERAGE(OFFSET($H$3,0,0,'Données projet'!$E$9+1,1))</f>
        <v>358.51982625142648</v>
      </c>
      <c r="T110" s="62">
        <f t="shared" si="88"/>
        <v>432.55677461330856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0.20177455558168025</v>
      </c>
      <c r="AB110" s="23">
        <f>EXP(-LN(2)/2)*AB109+(1-EXP(-LN(2)/2))/(LN(2)/2)*V110*Y110*VLOOKUP('Données projet'!$B$9,Paramètres!$A$1:$I$89,3,0)*0.475*44/12</f>
        <v>6.5573248863581264E-11</v>
      </c>
      <c r="AC110" s="24">
        <f t="shared" si="57"/>
        <v>0.2017745556472535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264.16738206207805</v>
      </c>
      <c r="AO110" s="62">
        <f t="shared" si="90"/>
        <v>233.21990345647771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6.265055433824291E-11</v>
      </c>
      <c r="AX110" s="23">
        <f t="shared" si="60"/>
        <v>6.265055433824291E-11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2.8421709430404007E-14</v>
      </c>
      <c r="BE110" s="14">
        <f>BD110*VLOOKUP('Données projet'!$B$11,Paramètres!$A$1:$I$89,3,0)*VLOOKUP('Données projet'!$B$11,Paramètres!$A$1:$I$89,5,0)</f>
        <v>2.4829205358400945E-14</v>
      </c>
      <c r="BF110" s="14">
        <f t="shared" si="91"/>
        <v>4.3867331143352915E-13</v>
      </c>
      <c r="BG110" s="22">
        <f t="shared" si="61"/>
        <v>8.0726688341261168E-13</v>
      </c>
      <c r="BH110" s="62">
        <f t="shared" si="62"/>
        <v>326.70000000000078</v>
      </c>
      <c r="BI110" s="62">
        <f ca="1">AVERAGE(OFFSET($BH$3,0,0,'Données projet'!$E$11+1,1))-AVERAGE(OFFSET($H$3,0,0,'Données projet'!$E$11+1,1))</f>
        <v>316.00112010575197</v>
      </c>
      <c r="BJ110" s="62">
        <f t="shared" si="92"/>
        <v>345.16550310248078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9.5635647849451836E-11</v>
      </c>
      <c r="BS110" s="24">
        <f t="shared" si="63"/>
        <v>9.5635647849451836E-11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79.099999999999994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12.484368000000002</v>
      </c>
      <c r="D111" s="12">
        <f t="shared" si="86"/>
        <v>4.2884619283185179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16.831681963154725</v>
      </c>
      <c r="H111" s="70">
        <f t="shared" si="56"/>
        <v>319.24601212515472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326.70000000000186</v>
      </c>
      <c r="S111" s="62">
        <f ca="1">AVERAGE(OFFSET($R$3,0,0,'Données projet'!$E$9+1,1))-AVERAGE(OFFSET($H$3,0,0,'Données projet'!$E$9+1,1))</f>
        <v>358.51982625142648</v>
      </c>
      <c r="T111" s="62">
        <f t="shared" si="88"/>
        <v>432.55677461330856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0.19625701974843648</v>
      </c>
      <c r="AB111" s="23">
        <f>EXP(-LN(2)/2)*AB110+(1-EXP(-LN(2)/2))/(LN(2)/2)*V111*Y111*VLOOKUP('Données projet'!$B$9,Paramètres!$A$1:$I$89,3,0)*0.475*44/12</f>
        <v>4.6367288935871385E-11</v>
      </c>
      <c r="AC111" s="24">
        <f t="shared" si="57"/>
        <v>0.19625701979480378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264.16738206207805</v>
      </c>
      <c r="AO111" s="62">
        <f t="shared" si="90"/>
        <v>233.21990345647771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4.4300631817667836E-11</v>
      </c>
      <c r="AX111" s="23">
        <f t="shared" si="60"/>
        <v>4.4300631817667836E-11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2.8421709430404007E-14</v>
      </c>
      <c r="BE111" s="14">
        <f>BD111*VLOOKUP('Données projet'!$B$11,Paramètres!$A$1:$I$89,3,0)*VLOOKUP('Données projet'!$B$11,Paramètres!$A$1:$I$89,5,0)</f>
        <v>2.4829205358400945E-14</v>
      </c>
      <c r="BF111" s="14">
        <f t="shared" si="91"/>
        <v>4.3867331143352915E-13</v>
      </c>
      <c r="BG111" s="22">
        <f t="shared" si="61"/>
        <v>8.0726688341261168E-13</v>
      </c>
      <c r="BH111" s="62">
        <f t="shared" si="62"/>
        <v>326.70000000000078</v>
      </c>
      <c r="BI111" s="62">
        <f ca="1">AVERAGE(OFFSET($BH$3,0,0,'Données projet'!$E$11+1,1))-AVERAGE(OFFSET($H$3,0,0,'Données projet'!$E$11+1,1))</f>
        <v>316.00112010575197</v>
      </c>
      <c r="BJ111" s="62">
        <f t="shared" si="92"/>
        <v>345.16550310248078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6.7624615117516053E-11</v>
      </c>
      <c r="BS111" s="24">
        <f t="shared" si="63"/>
        <v>6.7624615117516053E-11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79.099999999999994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12.599964000000002</v>
      </c>
      <c r="D112" s="12">
        <f t="shared" si="86"/>
        <v>4.3235290575603402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16.982873734955295</v>
      </c>
      <c r="H112" s="70">
        <f t="shared" si="56"/>
        <v>319.50841707525092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326.70000000000186</v>
      </c>
      <c r="S112" s="62">
        <f ca="1">AVERAGE(OFFSET($R$3,0,0,'Données projet'!$E$9+1,1))-AVERAGE(OFFSET($H$3,0,0,'Données projet'!$E$9+1,1))</f>
        <v>358.51982625142648</v>
      </c>
      <c r="T112" s="62">
        <f t="shared" si="88"/>
        <v>432.55677461330856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0.19089036122270736</v>
      </c>
      <c r="AB112" s="23">
        <f>EXP(-LN(2)/2)*AB111+(1-EXP(-LN(2)/2))/(LN(2)/2)*V112*Y112*VLOOKUP('Données projet'!$B$9,Paramètres!$A$1:$I$89,3,0)*0.475*44/12</f>
        <v>3.2786624431790632E-11</v>
      </c>
      <c r="AC112" s="24">
        <f t="shared" si="57"/>
        <v>0.190890361255494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264.16738206207805</v>
      </c>
      <c r="AO112" s="62">
        <f t="shared" si="90"/>
        <v>233.21990345647771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3.1325277169121455E-11</v>
      </c>
      <c r="AX112" s="23">
        <f t="shared" si="60"/>
        <v>3.1325277169121455E-11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2.8421709430404007E-14</v>
      </c>
      <c r="BE112" s="14">
        <f>BD112*VLOOKUP('Données projet'!$B$11,Paramètres!$A$1:$I$89,3,0)*VLOOKUP('Données projet'!$B$11,Paramètres!$A$1:$I$89,5,0)</f>
        <v>2.4829205358400945E-14</v>
      </c>
      <c r="BF112" s="14">
        <f t="shared" si="91"/>
        <v>4.3867331143352915E-13</v>
      </c>
      <c r="BG112" s="22">
        <f t="shared" si="61"/>
        <v>8.0726688341261168E-13</v>
      </c>
      <c r="BH112" s="62">
        <f t="shared" si="62"/>
        <v>326.70000000000078</v>
      </c>
      <c r="BI112" s="62">
        <f ca="1">AVERAGE(OFFSET($BH$3,0,0,'Données projet'!$E$11+1,1))-AVERAGE(OFFSET($H$3,0,0,'Données projet'!$E$11+1,1))</f>
        <v>316.00112010575197</v>
      </c>
      <c r="BJ112" s="62">
        <f t="shared" si="92"/>
        <v>345.16550310248078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4.7817823924725918E-11</v>
      </c>
      <c r="BS112" s="24">
        <f t="shared" si="63"/>
        <v>4.7817823924725918E-11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79.099999999999994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12.715560000000002</v>
      </c>
      <c r="D113" s="12">
        <f t="shared" si="86"/>
        <v>4.3585587584013803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17.134027947027352</v>
      </c>
      <c r="H113" s="70">
        <f t="shared" si="56"/>
        <v>319.77075683754902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326.70000000000186</v>
      </c>
      <c r="S113" s="62">
        <f ca="1">AVERAGE(OFFSET($R$3,0,0,'Données projet'!$E$9+1,1))-AVERAGE(OFFSET($H$3,0,0,'Données projet'!$E$9+1,1))</f>
        <v>358.51982625142648</v>
      </c>
      <c r="T113" s="62">
        <f t="shared" si="88"/>
        <v>432.55677461330856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0.18567045425658463</v>
      </c>
      <c r="AB113" s="23">
        <f>EXP(-LN(2)/2)*AB112+(1-EXP(-LN(2)/2))/(LN(2)/2)*V113*Y113*VLOOKUP('Données projet'!$B$9,Paramètres!$A$1:$I$89,3,0)*0.475*44/12</f>
        <v>2.3183644467935692E-11</v>
      </c>
      <c r="AC113" s="24">
        <f t="shared" si="57"/>
        <v>0.18567045427976828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264.16738206207805</v>
      </c>
      <c r="AO113" s="62">
        <f t="shared" si="90"/>
        <v>233.21990345647771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2.2150315908833918E-11</v>
      </c>
      <c r="AX113" s="23">
        <f t="shared" si="60"/>
        <v>2.2150315908833918E-11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2.8421709430404007E-14</v>
      </c>
      <c r="BE113" s="14">
        <f>BD113*VLOOKUP('Données projet'!$B$11,Paramètres!$A$1:$I$89,3,0)*VLOOKUP('Données projet'!$B$11,Paramètres!$A$1:$I$89,5,0)</f>
        <v>2.4829205358400945E-14</v>
      </c>
      <c r="BF113" s="14">
        <f t="shared" si="91"/>
        <v>4.3867331143352915E-13</v>
      </c>
      <c r="BG113" s="22">
        <f t="shared" si="61"/>
        <v>8.0726688341261168E-13</v>
      </c>
      <c r="BH113" s="62">
        <f t="shared" si="62"/>
        <v>326.70000000000078</v>
      </c>
      <c r="BI113" s="62">
        <f ca="1">AVERAGE(OFFSET($BH$3,0,0,'Données projet'!$E$11+1,1))-AVERAGE(OFFSET($H$3,0,0,'Données projet'!$E$11+1,1))</f>
        <v>316.00112010575197</v>
      </c>
      <c r="BJ113" s="62">
        <f t="shared" si="92"/>
        <v>345.16550310248078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3.3812307558758027E-11</v>
      </c>
      <c r="BS113" s="24">
        <f t="shared" si="63"/>
        <v>3.3812307558758027E-11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79.099999999999994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12.831156000000002</v>
      </c>
      <c r="D114" s="12">
        <f t="shared" si="86"/>
        <v>4.3935514105154727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17.285144980376931</v>
      </c>
      <c r="H114" s="70">
        <f t="shared" si="56"/>
        <v>320.03303207331442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326.70000000000186</v>
      </c>
      <c r="S114" s="62">
        <f ca="1">AVERAGE(OFFSET($R$3,0,0,'Données projet'!$E$9+1,1))-AVERAGE(OFFSET($H$3,0,0,'Données projet'!$E$9+1,1))</f>
        <v>358.51982625142648</v>
      </c>
      <c r="T114" s="62">
        <f t="shared" si="88"/>
        <v>432.55677461330856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0.1805932859209535</v>
      </c>
      <c r="AB114" s="23">
        <f>EXP(-LN(2)/2)*AB113+(1-EXP(-LN(2)/2))/(LN(2)/2)*V114*Y114*VLOOKUP('Données projet'!$B$9,Paramètres!$A$1:$I$89,3,0)*0.475*44/12</f>
        <v>1.6393312215895316E-11</v>
      </c>
      <c r="AC114" s="24">
        <f t="shared" si="57"/>
        <v>0.1805932859373468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264.16738206207805</v>
      </c>
      <c r="AO114" s="62">
        <f t="shared" si="90"/>
        <v>233.21990345647771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1.5662638584560728E-11</v>
      </c>
      <c r="AX114" s="23">
        <f t="shared" si="60"/>
        <v>1.5662638584560728E-11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2.8421709430404007E-14</v>
      </c>
      <c r="BE114" s="14">
        <f>BD114*VLOOKUP('Données projet'!$B$11,Paramètres!$A$1:$I$89,3,0)*VLOOKUP('Données projet'!$B$11,Paramètres!$A$1:$I$89,5,0)</f>
        <v>2.4829205358400945E-14</v>
      </c>
      <c r="BF114" s="14">
        <f t="shared" si="91"/>
        <v>4.3867331143352915E-13</v>
      </c>
      <c r="BG114" s="22">
        <f t="shared" si="61"/>
        <v>8.0726688341261168E-13</v>
      </c>
      <c r="BH114" s="62">
        <f t="shared" si="62"/>
        <v>326.70000000000078</v>
      </c>
      <c r="BI114" s="62">
        <f ca="1">AVERAGE(OFFSET($BH$3,0,0,'Données projet'!$E$11+1,1))-AVERAGE(OFFSET($H$3,0,0,'Données projet'!$E$11+1,1))</f>
        <v>316.00112010575197</v>
      </c>
      <c r="BJ114" s="62">
        <f t="shared" si="92"/>
        <v>345.16550310248078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2.3908911962362959E-11</v>
      </c>
      <c r="BS114" s="24">
        <f t="shared" si="63"/>
        <v>2.3908911962362959E-11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79.099999999999994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12.946752000000002</v>
      </c>
      <c r="D115" s="12">
        <f t="shared" si="86"/>
        <v>4.4285073863408391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17.436225208749054</v>
      </c>
      <c r="H115" s="70">
        <f t="shared" si="56"/>
        <v>320.29524343121028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326.70000000000186</v>
      </c>
      <c r="S115" s="62">
        <f ca="1">AVERAGE(OFFSET($R$3,0,0,'Données projet'!$E$9+1,1))-AVERAGE(OFFSET($H$3,0,0,'Données projet'!$E$9+1,1))</f>
        <v>358.51982625142648</v>
      </c>
      <c r="T115" s="62">
        <f t="shared" si="88"/>
        <v>432.55677461330856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0.17565495302045686</v>
      </c>
      <c r="AB115" s="23">
        <f>EXP(-LN(2)/2)*AB114+(1-EXP(-LN(2)/2))/(LN(2)/2)*V115*Y115*VLOOKUP('Données projet'!$B$9,Paramètres!$A$1:$I$89,3,0)*0.475*44/12</f>
        <v>1.1591822233967846E-11</v>
      </c>
      <c r="AC115" s="24">
        <f t="shared" si="57"/>
        <v>0.17565495303204867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264.16738206207805</v>
      </c>
      <c r="AO115" s="62">
        <f t="shared" si="90"/>
        <v>233.21990345647771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1.1075157954416959E-11</v>
      </c>
      <c r="AX115" s="23">
        <f t="shared" si="60"/>
        <v>1.1075157954416959E-11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2.8421709430404007E-14</v>
      </c>
      <c r="BE115" s="14">
        <f>BD115*VLOOKUP('Données projet'!$B$11,Paramètres!$A$1:$I$89,3,0)*VLOOKUP('Données projet'!$B$11,Paramètres!$A$1:$I$89,5,0)</f>
        <v>2.4829205358400945E-14</v>
      </c>
      <c r="BF115" s="14">
        <f t="shared" si="91"/>
        <v>4.3867331143352915E-13</v>
      </c>
      <c r="BG115" s="22">
        <f t="shared" si="61"/>
        <v>8.0726688341261168E-13</v>
      </c>
      <c r="BH115" s="62">
        <f t="shared" si="62"/>
        <v>326.70000000000078</v>
      </c>
      <c r="BI115" s="62">
        <f ca="1">AVERAGE(OFFSET($BH$3,0,0,'Données projet'!$E$11+1,1))-AVERAGE(OFFSET($H$3,0,0,'Données projet'!$E$11+1,1))</f>
        <v>316.00112010575197</v>
      </c>
      <c r="BJ115" s="62">
        <f t="shared" si="92"/>
        <v>345.16550310248078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1.6906153779379013E-11</v>
      </c>
      <c r="BS115" s="24">
        <f t="shared" si="63"/>
        <v>1.6906153779379013E-11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79.099999999999994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13.062348000000002</v>
      </c>
      <c r="D116" s="12">
        <f t="shared" si="86"/>
        <v>4.4634270512813234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17.587268998829682</v>
      </c>
      <c r="H116" s="70">
        <f t="shared" si="56"/>
        <v>320.55739154764825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326.70000000000186</v>
      </c>
      <c r="S116" s="62">
        <f ca="1">AVERAGE(OFFSET($R$3,0,0,'Données projet'!$E$9+1,1))-AVERAGE(OFFSET($H$3,0,0,'Données projet'!$E$9+1,1))</f>
        <v>358.51982625142648</v>
      </c>
      <c r="T116" s="62">
        <f t="shared" si="88"/>
        <v>432.55677461330856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0.17085165909281996</v>
      </c>
      <c r="AB116" s="23">
        <f>EXP(-LN(2)/2)*AB115+(1-EXP(-LN(2)/2))/(LN(2)/2)*V116*Y116*VLOOKUP('Données projet'!$B$9,Paramètres!$A$1:$I$89,3,0)*0.475*44/12</f>
        <v>8.1966561079476581E-12</v>
      </c>
      <c r="AC116" s="24">
        <f t="shared" si="57"/>
        <v>0.17085165910101663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264.16738206207805</v>
      </c>
      <c r="AO116" s="62">
        <f t="shared" si="90"/>
        <v>233.21990345647771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7.8313192922803638E-12</v>
      </c>
      <c r="AX116" s="23">
        <f t="shared" si="60"/>
        <v>7.8313192922803638E-12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2.8421709430404007E-14</v>
      </c>
      <c r="BE116" s="14">
        <f>BD116*VLOOKUP('Données projet'!$B$11,Paramètres!$A$1:$I$89,3,0)*VLOOKUP('Données projet'!$B$11,Paramètres!$A$1:$I$89,5,0)</f>
        <v>2.4829205358400945E-14</v>
      </c>
      <c r="BF116" s="14">
        <f t="shared" si="91"/>
        <v>4.3867331143352915E-13</v>
      </c>
      <c r="BG116" s="22">
        <f t="shared" si="61"/>
        <v>8.0726688341261168E-13</v>
      </c>
      <c r="BH116" s="62">
        <f t="shared" si="62"/>
        <v>326.70000000000078</v>
      </c>
      <c r="BI116" s="62">
        <f ca="1">AVERAGE(OFFSET($BH$3,0,0,'Données projet'!$E$11+1,1))-AVERAGE(OFFSET($H$3,0,0,'Données projet'!$E$11+1,1))</f>
        <v>316.00112010575197</v>
      </c>
      <c r="BJ116" s="62">
        <f t="shared" si="92"/>
        <v>345.16550310248078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1.195445598118148E-11</v>
      </c>
      <c r="BS116" s="24">
        <f t="shared" si="63"/>
        <v>1.195445598118148E-11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79.099999999999994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13.177944000000002</v>
      </c>
      <c r="D117" s="12">
        <f t="shared" si="86"/>
        <v>4.4983107639003128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17.738276710440321</v>
      </c>
      <c r="H117" s="70">
        <f t="shared" si="56"/>
        <v>320.81947704712633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326.70000000000186</v>
      </c>
      <c r="S117" s="62">
        <f ca="1">AVERAGE(OFFSET($R$3,0,0,'Données projet'!$E$9+1,1))-AVERAGE(OFFSET($H$3,0,0,'Données projet'!$E$9+1,1))</f>
        <v>358.51982625142648</v>
      </c>
      <c r="T117" s="62">
        <f t="shared" si="88"/>
        <v>432.55677461330856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0.16617971149022853</v>
      </c>
      <c r="AB117" s="23">
        <f>EXP(-LN(2)/2)*AB116+(1-EXP(-LN(2)/2))/(LN(2)/2)*V117*Y117*VLOOKUP('Données projet'!$B$9,Paramètres!$A$1:$I$89,3,0)*0.475*44/12</f>
        <v>5.7959111169839231E-12</v>
      </c>
      <c r="AC117" s="24">
        <f t="shared" si="57"/>
        <v>0.16617971149602445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264.16738206207805</v>
      </c>
      <c r="AO117" s="62">
        <f t="shared" si="90"/>
        <v>233.21990345647771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5.5375789772084795E-12</v>
      </c>
      <c r="AX117" s="23">
        <f t="shared" si="60"/>
        <v>5.5375789772084795E-12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2.8421709430404007E-14</v>
      </c>
      <c r="BE117" s="14">
        <f>BD117*VLOOKUP('Données projet'!$B$11,Paramètres!$A$1:$I$89,3,0)*VLOOKUP('Données projet'!$B$11,Paramètres!$A$1:$I$89,5,0)</f>
        <v>2.4829205358400945E-14</v>
      </c>
      <c r="BF117" s="14">
        <f t="shared" si="91"/>
        <v>4.3867331143352915E-13</v>
      </c>
      <c r="BG117" s="22">
        <f t="shared" si="61"/>
        <v>8.0726688341261168E-13</v>
      </c>
      <c r="BH117" s="62">
        <f t="shared" si="62"/>
        <v>326.70000000000078</v>
      </c>
      <c r="BI117" s="62">
        <f ca="1">AVERAGE(OFFSET($BH$3,0,0,'Données projet'!$E$11+1,1))-AVERAGE(OFFSET($H$3,0,0,'Données projet'!$E$11+1,1))</f>
        <v>316.00112010575197</v>
      </c>
      <c r="BJ117" s="62">
        <f t="shared" si="92"/>
        <v>345.16550310248078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8.4530768896895067E-12</v>
      </c>
      <c r="BS117" s="24">
        <f t="shared" si="63"/>
        <v>8.4530768896895067E-12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79.099999999999994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13.293540000000002</v>
      </c>
      <c r="D118" s="12">
        <f t="shared" si="86"/>
        <v>4.53315887610764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17.889248696725563</v>
      </c>
      <c r="H118" s="70">
        <f t="shared" si="56"/>
        <v>321.08150054255412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326.70000000000186</v>
      </c>
      <c r="S118" s="62">
        <f ca="1">AVERAGE(OFFSET($R$3,0,0,'Données projet'!$E$9+1,1))-AVERAGE(OFFSET($H$3,0,0,'Données projet'!$E$9+1,1))</f>
        <v>358.51982625142648</v>
      </c>
      <c r="T118" s="62">
        <f t="shared" si="88"/>
        <v>432.55677461330856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0.16163551854051703</v>
      </c>
      <c r="AB118" s="23">
        <f>EXP(-LN(2)/2)*AB117+(1-EXP(-LN(2)/2))/(LN(2)/2)*V118*Y118*VLOOKUP('Données projet'!$B$9,Paramètres!$A$1:$I$89,3,0)*0.475*44/12</f>
        <v>4.098328053973829E-12</v>
      </c>
      <c r="AC118" s="24">
        <f t="shared" si="57"/>
        <v>0.16163551854461536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264.16738206207805</v>
      </c>
      <c r="AO118" s="62">
        <f t="shared" si="90"/>
        <v>233.21990345647771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3.9156596461401819E-12</v>
      </c>
      <c r="AX118" s="23">
        <f t="shared" si="60"/>
        <v>3.9156596461401819E-12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2.8421709430404007E-14</v>
      </c>
      <c r="BE118" s="14">
        <f>BD118*VLOOKUP('Données projet'!$B$11,Paramètres!$A$1:$I$89,3,0)*VLOOKUP('Données projet'!$B$11,Paramètres!$A$1:$I$89,5,0)</f>
        <v>2.4829205358400945E-14</v>
      </c>
      <c r="BF118" s="14">
        <f t="shared" si="91"/>
        <v>4.3867331143352915E-13</v>
      </c>
      <c r="BG118" s="22">
        <f t="shared" si="61"/>
        <v>8.0726688341261168E-13</v>
      </c>
      <c r="BH118" s="62">
        <f t="shared" si="62"/>
        <v>326.70000000000078</v>
      </c>
      <c r="BI118" s="62">
        <f ca="1">AVERAGE(OFFSET($BH$3,0,0,'Données projet'!$E$11+1,1))-AVERAGE(OFFSET($H$3,0,0,'Données projet'!$E$11+1,1))</f>
        <v>316.00112010575197</v>
      </c>
      <c r="BJ118" s="62">
        <f t="shared" si="92"/>
        <v>345.16550310248078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5.9772279905907398E-12</v>
      </c>
      <c r="BS118" s="24">
        <f t="shared" si="63"/>
        <v>5.9772279905907398E-12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79.099999999999994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13.409136000000002</v>
      </c>
      <c r="D119" s="12">
        <f t="shared" si="86"/>
        <v>4.5679717333397978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18.040185304333978</v>
      </c>
      <c r="H119" s="70">
        <f t="shared" si="56"/>
        <v>321.34346263556677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326.70000000000186</v>
      </c>
      <c r="S119" s="62">
        <f ca="1">AVERAGE(OFFSET($R$3,0,0,'Données projet'!$E$9+1,1))-AVERAGE(OFFSET($H$3,0,0,'Données projet'!$E$9+1,1))</f>
        <v>358.51982625142648</v>
      </c>
      <c r="T119" s="62">
        <f t="shared" si="88"/>
        <v>432.55677461330856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0.1572155867859841</v>
      </c>
      <c r="AB119" s="23">
        <f>EXP(-LN(2)/2)*AB118+(1-EXP(-LN(2)/2))/(LN(2)/2)*V119*Y119*VLOOKUP('Données projet'!$B$9,Paramètres!$A$1:$I$89,3,0)*0.475*44/12</f>
        <v>2.8979555584919615E-12</v>
      </c>
      <c r="AC119" s="24">
        <f t="shared" si="57"/>
        <v>0.15721558678888206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264.16738206207805</v>
      </c>
      <c r="AO119" s="62">
        <f t="shared" si="90"/>
        <v>233.21990345647771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2.7687894886042397E-12</v>
      </c>
      <c r="AX119" s="23">
        <f t="shared" si="60"/>
        <v>2.7687894886042397E-12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2.8421709430404007E-14</v>
      </c>
      <c r="BE119" s="14">
        <f>BD119*VLOOKUP('Données projet'!$B$11,Paramètres!$A$1:$I$89,3,0)*VLOOKUP('Données projet'!$B$11,Paramètres!$A$1:$I$89,5,0)</f>
        <v>2.4829205358400945E-14</v>
      </c>
      <c r="BF119" s="14">
        <f t="shared" si="91"/>
        <v>4.3867331143352915E-13</v>
      </c>
      <c r="BG119" s="22">
        <f t="shared" si="61"/>
        <v>8.0726688341261168E-13</v>
      </c>
      <c r="BH119" s="62">
        <f t="shared" si="62"/>
        <v>326.70000000000078</v>
      </c>
      <c r="BI119" s="62">
        <f ca="1">AVERAGE(OFFSET($BH$3,0,0,'Données projet'!$E$11+1,1))-AVERAGE(OFFSET($H$3,0,0,'Données projet'!$E$11+1,1))</f>
        <v>316.00112010575197</v>
      </c>
      <c r="BJ119" s="62">
        <f t="shared" si="92"/>
        <v>345.16550310248078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4.2265384448447533E-12</v>
      </c>
      <c r="BS119" s="24">
        <f t="shared" si="63"/>
        <v>4.2265384448447533E-12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79.099999999999994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13.524732000000002</v>
      </c>
      <c r="D120" s="12">
        <f t="shared" si="86"/>
        <v>4.6027496747337917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18.191086873592511</v>
      </c>
      <c r="H120" s="70">
        <f t="shared" si="56"/>
        <v>321.60536391682797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326.70000000000186</v>
      </c>
      <c r="S120" s="62">
        <f ca="1">AVERAGE(OFFSET($R$3,0,0,'Données projet'!$E$9+1,1))-AVERAGE(OFFSET($H$3,0,0,'Données projet'!$E$9+1,1))</f>
        <v>358.51982625142648</v>
      </c>
      <c r="T120" s="62">
        <f t="shared" si="88"/>
        <v>432.55677461330856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0.15291651829771297</v>
      </c>
      <c r="AB120" s="23">
        <f>EXP(-LN(2)/2)*AB119+(1-EXP(-LN(2)/2))/(LN(2)/2)*V120*Y120*VLOOKUP('Données projet'!$B$9,Paramètres!$A$1:$I$89,3,0)*0.475*44/12</f>
        <v>2.0491640269869145E-12</v>
      </c>
      <c r="AC120" s="24">
        <f t="shared" si="57"/>
        <v>0.15291651829976213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264.16738206207805</v>
      </c>
      <c r="AO120" s="62">
        <f t="shared" si="90"/>
        <v>233.21990345647771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1.9578298230700909E-12</v>
      </c>
      <c r="AX120" s="23">
        <f t="shared" si="60"/>
        <v>1.9578298230700909E-12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2.8421709430404007E-14</v>
      </c>
      <c r="BE120" s="14">
        <f>BD120*VLOOKUP('Données projet'!$B$11,Paramètres!$A$1:$I$89,3,0)*VLOOKUP('Données projet'!$B$11,Paramètres!$A$1:$I$89,5,0)</f>
        <v>2.4829205358400945E-14</v>
      </c>
      <c r="BF120" s="14">
        <f t="shared" si="91"/>
        <v>4.3867331143352915E-13</v>
      </c>
      <c r="BG120" s="22">
        <f t="shared" si="61"/>
        <v>8.0726688341261168E-13</v>
      </c>
      <c r="BH120" s="62">
        <f t="shared" si="62"/>
        <v>326.70000000000078</v>
      </c>
      <c r="BI120" s="62">
        <f ca="1">AVERAGE(OFFSET($BH$3,0,0,'Données projet'!$E$11+1,1))-AVERAGE(OFFSET($H$3,0,0,'Données projet'!$E$11+1,1))</f>
        <v>316.00112010575197</v>
      </c>
      <c r="BJ120" s="62">
        <f t="shared" si="92"/>
        <v>345.16550310248078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2.9886139952953699E-12</v>
      </c>
      <c r="BS120" s="24">
        <f t="shared" si="63"/>
        <v>2.9886139952953699E-12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79.099999999999994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13.640328000000002</v>
      </c>
      <c r="D121" s="12">
        <f t="shared" si="86"/>
        <v>4.6374930332948372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18.341953738674821</v>
      </c>
      <c r="H121" s="70">
        <f t="shared" si="56"/>
        <v>321.86720496632182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326.70000000000186</v>
      </c>
      <c r="S121" s="62">
        <f ca="1">AVERAGE(OFFSET($R$3,0,0,'Données projet'!$E$9+1,1))-AVERAGE(OFFSET($H$3,0,0,'Données projet'!$E$9+1,1))</f>
        <v>358.51982625142648</v>
      </c>
      <c r="T121" s="62">
        <f t="shared" si="88"/>
        <v>432.55677461330856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0.14873500806333181</v>
      </c>
      <c r="AB121" s="23">
        <f>EXP(-LN(2)/2)*AB120+(1-EXP(-LN(2)/2))/(LN(2)/2)*V121*Y121*VLOOKUP('Données projet'!$B$9,Paramètres!$A$1:$I$89,3,0)*0.475*44/12</f>
        <v>1.4489777792459808E-12</v>
      </c>
      <c r="AC121" s="24">
        <f t="shared" si="57"/>
        <v>0.14873500806478079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264.16738206207805</v>
      </c>
      <c r="AO121" s="62">
        <f t="shared" si="90"/>
        <v>233.21990345647771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1.3843947443021199E-12</v>
      </c>
      <c r="AX121" s="23">
        <f t="shared" si="60"/>
        <v>1.3843947443021199E-12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2.8421709430404007E-14</v>
      </c>
      <c r="BE121" s="14">
        <f>BD121*VLOOKUP('Données projet'!$B$11,Paramètres!$A$1:$I$89,3,0)*VLOOKUP('Données projet'!$B$11,Paramètres!$A$1:$I$89,5,0)</f>
        <v>2.4829205358400945E-14</v>
      </c>
      <c r="BF121" s="14">
        <f t="shared" si="91"/>
        <v>4.3867331143352915E-13</v>
      </c>
      <c r="BG121" s="22">
        <f t="shared" si="61"/>
        <v>8.0726688341261168E-13</v>
      </c>
      <c r="BH121" s="62">
        <f t="shared" si="62"/>
        <v>326.70000000000078</v>
      </c>
      <c r="BI121" s="62">
        <f ca="1">AVERAGE(OFFSET($BH$3,0,0,'Données projet'!$E$11+1,1))-AVERAGE(OFFSET($H$3,0,0,'Données projet'!$E$11+1,1))</f>
        <v>316.00112010575197</v>
      </c>
      <c r="BJ121" s="62">
        <f t="shared" si="92"/>
        <v>345.16550310248078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2.1132692224223767E-12</v>
      </c>
      <c r="BS121" s="24">
        <f t="shared" si="63"/>
        <v>2.1132692224223767E-12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79.099999999999994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13.755924000000002</v>
      </c>
      <c r="D122" s="12">
        <f t="shared" si="86"/>
        <v>4.6722021360582353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18.492786227763709</v>
      </c>
      <c r="H122" s="70">
        <f t="shared" si="56"/>
        <v>322.12898635363473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326.70000000000186</v>
      </c>
      <c r="S122" s="62">
        <f ca="1">AVERAGE(OFFSET($R$3,0,0,'Données projet'!$E$9+1,1))-AVERAGE(OFFSET($H$3,0,0,'Données projet'!$E$9+1,1))</f>
        <v>358.51982625142648</v>
      </c>
      <c r="T122" s="62">
        <f t="shared" si="88"/>
        <v>432.55677461330856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0.14466784144620587</v>
      </c>
      <c r="AB122" s="23">
        <f>EXP(-LN(2)/2)*AB121+(1-EXP(-LN(2)/2))/(LN(2)/2)*V122*Y122*VLOOKUP('Données projet'!$B$9,Paramètres!$A$1:$I$89,3,0)*0.475*44/12</f>
        <v>1.0245820134934573E-12</v>
      </c>
      <c r="AC122" s="24">
        <f t="shared" si="57"/>
        <v>0.14466784144723044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264.16738206207805</v>
      </c>
      <c r="AO122" s="62">
        <f t="shared" si="90"/>
        <v>233.21990345647771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9.7891491153504547E-13</v>
      </c>
      <c r="AX122" s="23">
        <f t="shared" si="60"/>
        <v>9.7891491153504547E-13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2.8421709430404007E-14</v>
      </c>
      <c r="BE122" s="14">
        <f>BD122*VLOOKUP('Données projet'!$B$11,Paramètres!$A$1:$I$89,3,0)*VLOOKUP('Données projet'!$B$11,Paramètres!$A$1:$I$89,5,0)</f>
        <v>2.4829205358400945E-14</v>
      </c>
      <c r="BF122" s="14">
        <f t="shared" si="91"/>
        <v>4.3867331143352915E-13</v>
      </c>
      <c r="BG122" s="22">
        <f t="shared" si="61"/>
        <v>8.0726688341261168E-13</v>
      </c>
      <c r="BH122" s="62">
        <f t="shared" si="62"/>
        <v>326.70000000000078</v>
      </c>
      <c r="BI122" s="62">
        <f ca="1">AVERAGE(OFFSET($BH$3,0,0,'Données projet'!$E$11+1,1))-AVERAGE(OFFSET($H$3,0,0,'Données projet'!$E$11+1,1))</f>
        <v>316.00112010575197</v>
      </c>
      <c r="BJ122" s="62">
        <f t="shared" si="92"/>
        <v>345.16550310248078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1.4943069976476849E-12</v>
      </c>
      <c r="BS122" s="24">
        <f t="shared" si="63"/>
        <v>1.4943069976476849E-12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79.099999999999994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13.871520000000002</v>
      </c>
      <c r="D123" s="12">
        <f t="shared" si="86"/>
        <v>4.706877304245654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18.643584663207925</v>
      </c>
      <c r="H123" s="70">
        <f t="shared" si="56"/>
        <v>322.39070863822781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326.70000000000186</v>
      </c>
      <c r="S123" s="62">
        <f ca="1">AVERAGE(OFFSET($R$3,0,0,'Données projet'!$E$9+1,1))-AVERAGE(OFFSET($H$3,0,0,'Données projet'!$E$9+1,1))</f>
        <v>358.51982625142648</v>
      </c>
      <c r="T123" s="62">
        <f t="shared" si="88"/>
        <v>432.55677461330856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0.14071189171410822</v>
      </c>
      <c r="AB123" s="23">
        <f>EXP(-LN(2)/2)*AB122+(1-EXP(-LN(2)/2))/(LN(2)/2)*V123*Y123*VLOOKUP('Données projet'!$B$9,Paramètres!$A$1:$I$89,3,0)*0.475*44/12</f>
        <v>7.2448888962299038E-13</v>
      </c>
      <c r="AC123" s="24">
        <f t="shared" si="57"/>
        <v>0.1407118917148327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264.16738206207805</v>
      </c>
      <c r="AO123" s="62">
        <f t="shared" si="90"/>
        <v>233.21990345647771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6.9219737215105993E-13</v>
      </c>
      <c r="AX123" s="23">
        <f t="shared" si="60"/>
        <v>6.9219737215105993E-13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2.8421709430404007E-14</v>
      </c>
      <c r="BE123" s="14">
        <f>BD123*VLOOKUP('Données projet'!$B$11,Paramètres!$A$1:$I$89,3,0)*VLOOKUP('Données projet'!$B$11,Paramètres!$A$1:$I$89,5,0)</f>
        <v>2.4829205358400945E-14</v>
      </c>
      <c r="BF123" s="14">
        <f t="shared" si="91"/>
        <v>4.3867331143352915E-13</v>
      </c>
      <c r="BG123" s="22">
        <f t="shared" si="61"/>
        <v>8.0726688341261168E-13</v>
      </c>
      <c r="BH123" s="62">
        <f t="shared" si="62"/>
        <v>326.70000000000078</v>
      </c>
      <c r="BI123" s="62">
        <f ca="1">AVERAGE(OFFSET($BH$3,0,0,'Données projet'!$E$11+1,1))-AVERAGE(OFFSET($H$3,0,0,'Données projet'!$E$11+1,1))</f>
        <v>316.00112010575197</v>
      </c>
      <c r="BJ123" s="62">
        <f t="shared" si="92"/>
        <v>345.16550310248078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1.0566346112111883E-12</v>
      </c>
      <c r="BS123" s="24">
        <f t="shared" si="63"/>
        <v>1.0566346112111883E-12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79.099999999999994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13.987116000000002</v>
      </c>
      <c r="D124" s="12">
        <f t="shared" si="86"/>
        <v>4.7415188534160286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18.794349361673635</v>
      </c>
      <c r="H124" s="70">
        <f t="shared" si="56"/>
        <v>322.65237236969955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326.70000000000186</v>
      </c>
      <c r="S124" s="62">
        <f ca="1">AVERAGE(OFFSET($R$3,0,0,'Données projet'!$E$9+1,1))-AVERAGE(OFFSET($H$3,0,0,'Données projet'!$E$9+1,1))</f>
        <v>358.51982625142648</v>
      </c>
      <c r="T124" s="62">
        <f t="shared" si="88"/>
        <v>432.55677461330856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0.13686411763546916</v>
      </c>
      <c r="AB124" s="23">
        <f>EXP(-LN(2)/2)*AB123+(1-EXP(-LN(2)/2))/(LN(2)/2)*V124*Y124*VLOOKUP('Données projet'!$B$9,Paramètres!$A$1:$I$89,3,0)*0.475*44/12</f>
        <v>5.1229100674672863E-13</v>
      </c>
      <c r="AC124" s="24">
        <f t="shared" si="57"/>
        <v>0.13686411763598144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264.16738206207805</v>
      </c>
      <c r="AO124" s="62">
        <f t="shared" si="90"/>
        <v>233.21990345647771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4.8945745576752274E-13</v>
      </c>
      <c r="AX124" s="23">
        <f t="shared" si="60"/>
        <v>4.8945745576752274E-13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2.8421709430404007E-14</v>
      </c>
      <c r="BE124" s="14">
        <f>BD124*VLOOKUP('Données projet'!$B$11,Paramètres!$A$1:$I$89,3,0)*VLOOKUP('Données projet'!$B$11,Paramètres!$A$1:$I$89,5,0)</f>
        <v>2.4829205358400945E-14</v>
      </c>
      <c r="BF124" s="14">
        <f t="shared" si="91"/>
        <v>4.3867331143352915E-13</v>
      </c>
      <c r="BG124" s="22">
        <f t="shared" si="61"/>
        <v>8.0726688341261168E-13</v>
      </c>
      <c r="BH124" s="62">
        <f t="shared" si="62"/>
        <v>326.70000000000078</v>
      </c>
      <c r="BI124" s="62">
        <f ca="1">AVERAGE(OFFSET($BH$3,0,0,'Données projet'!$E$11+1,1))-AVERAGE(OFFSET($H$3,0,0,'Données projet'!$E$11+1,1))</f>
        <v>316.00112010575197</v>
      </c>
      <c r="BJ124" s="62">
        <f t="shared" si="92"/>
        <v>345.16550310248078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7.4715349882384247E-13</v>
      </c>
      <c r="BS124" s="24">
        <f t="shared" si="63"/>
        <v>7.4715349882384247E-13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79.099999999999994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14.102712000000002</v>
      </c>
      <c r="D125" s="12">
        <f t="shared" si="86"/>
        <v>4.7761270936113505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18.945080634290694</v>
      </c>
      <c r="H125" s="70">
        <f t="shared" si="56"/>
        <v>322.91397808803976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326.70000000000186</v>
      </c>
      <c r="S125" s="62">
        <f ca="1">AVERAGE(OFFSET($R$3,0,0,'Données projet'!$E$9+1,1))-AVERAGE(OFFSET($H$3,0,0,'Données projet'!$E$9+1,1))</f>
        <v>358.51982625142648</v>
      </c>
      <c r="T125" s="62">
        <f t="shared" si="88"/>
        <v>432.55677461330856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0.13312156114135612</v>
      </c>
      <c r="AB125" s="23">
        <f>EXP(-LN(2)/2)*AB124+(1-EXP(-LN(2)/2))/(LN(2)/2)*V125*Y125*VLOOKUP('Données projet'!$B$9,Paramètres!$A$1:$I$89,3,0)*0.475*44/12</f>
        <v>3.6224444481149519E-13</v>
      </c>
      <c r="AC125" s="24">
        <f t="shared" si="57"/>
        <v>0.13312156114171836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264.16738206207805</v>
      </c>
      <c r="AO125" s="62">
        <f t="shared" si="90"/>
        <v>233.21990345647771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3.4609868607552997E-13</v>
      </c>
      <c r="AX125" s="23">
        <f t="shared" si="60"/>
        <v>3.4609868607552997E-13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2.8421709430404007E-14</v>
      </c>
      <c r="BE125" s="14">
        <f>BD125*VLOOKUP('Données projet'!$B$11,Paramètres!$A$1:$I$89,3,0)*VLOOKUP('Données projet'!$B$11,Paramètres!$A$1:$I$89,5,0)</f>
        <v>2.4829205358400945E-14</v>
      </c>
      <c r="BF125" s="14">
        <f t="shared" si="91"/>
        <v>4.3867331143352915E-13</v>
      </c>
      <c r="BG125" s="22">
        <f t="shared" si="61"/>
        <v>8.0726688341261168E-13</v>
      </c>
      <c r="BH125" s="62">
        <f t="shared" si="62"/>
        <v>326.70000000000078</v>
      </c>
      <c r="BI125" s="62">
        <f ca="1">AVERAGE(OFFSET($BH$3,0,0,'Données projet'!$E$11+1,1))-AVERAGE(OFFSET($H$3,0,0,'Données projet'!$E$11+1,1))</f>
        <v>316.00112010575197</v>
      </c>
      <c r="BJ125" s="62">
        <f t="shared" si="92"/>
        <v>345.16550310248078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5.2831730560559417E-13</v>
      </c>
      <c r="BS125" s="24">
        <f t="shared" si="63"/>
        <v>5.2831730560559417E-13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79.099999999999994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14.218308000000002</v>
      </c>
      <c r="D126" s="12">
        <f t="shared" si="86"/>
        <v>4.8107023294975333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19.095778786794018</v>
      </c>
      <c r="H126" s="70">
        <f t="shared" si="56"/>
        <v>323.17552632387486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326.70000000000186</v>
      </c>
      <c r="S126" s="62">
        <f ca="1">AVERAGE(OFFSET($R$3,0,0,'Données projet'!$E$9+1,1))-AVERAGE(OFFSET($H$3,0,0,'Données projet'!$E$9+1,1))</f>
        <v>358.51982625142648</v>
      </c>
      <c r="T126" s="62">
        <f t="shared" si="88"/>
        <v>432.55677461330856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0.12948134505138709</v>
      </c>
      <c r="AB126" s="23">
        <f>EXP(-LN(2)/2)*AB125+(1-EXP(-LN(2)/2))/(LN(2)/2)*V126*Y126*VLOOKUP('Données projet'!$B$9,Paramètres!$A$1:$I$89,3,0)*0.475*44/12</f>
        <v>2.5614550337336431E-13</v>
      </c>
      <c r="AC126" s="24">
        <f t="shared" si="57"/>
        <v>0.12948134505164324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264.16738206207805</v>
      </c>
      <c r="AO126" s="62">
        <f t="shared" si="90"/>
        <v>233.21990345647771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2.4472872788376137E-13</v>
      </c>
      <c r="AX126" s="23">
        <f t="shared" si="60"/>
        <v>2.4472872788376137E-13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2.8421709430404007E-14</v>
      </c>
      <c r="BE126" s="14">
        <f>BD126*VLOOKUP('Données projet'!$B$11,Paramètres!$A$1:$I$89,3,0)*VLOOKUP('Données projet'!$B$11,Paramètres!$A$1:$I$89,5,0)</f>
        <v>2.4829205358400945E-14</v>
      </c>
      <c r="BF126" s="14">
        <f t="shared" si="91"/>
        <v>4.3867331143352915E-13</v>
      </c>
      <c r="BG126" s="22">
        <f t="shared" si="61"/>
        <v>8.0726688341261168E-13</v>
      </c>
      <c r="BH126" s="62">
        <f t="shared" si="62"/>
        <v>326.70000000000078</v>
      </c>
      <c r="BI126" s="62">
        <f ca="1">AVERAGE(OFFSET($BH$3,0,0,'Données projet'!$E$11+1,1))-AVERAGE(OFFSET($H$3,0,0,'Données projet'!$E$11+1,1))</f>
        <v>316.00112010575197</v>
      </c>
      <c r="BJ126" s="62">
        <f t="shared" si="92"/>
        <v>345.16550310248078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3.7357674941192124E-13</v>
      </c>
      <c r="BS126" s="24">
        <f t="shared" si="63"/>
        <v>3.7357674941192124E-13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79.099999999999994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14.333904000000002</v>
      </c>
      <c r="D127" s="12">
        <f t="shared" si="86"/>
        <v>4.8452448605005545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19.246444119660211</v>
      </c>
      <c r="H127" s="70">
        <f t="shared" si="56"/>
        <v>323.4370175987051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326.70000000000186</v>
      </c>
      <c r="S127" s="62">
        <f ca="1">AVERAGE(OFFSET($R$3,0,0,'Données projet'!$E$9+1,1))-AVERAGE(OFFSET($H$3,0,0,'Données projet'!$E$9+1,1))</f>
        <v>358.51982625142648</v>
      </c>
      <c r="T127" s="62">
        <f t="shared" si="88"/>
        <v>432.55677461330856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0.12594067086182889</v>
      </c>
      <c r="AB127" s="23">
        <f>EXP(-LN(2)/2)*AB126+(1-EXP(-LN(2)/2))/(LN(2)/2)*V127*Y127*VLOOKUP('Données projet'!$B$9,Paramètres!$A$1:$I$89,3,0)*0.475*44/12</f>
        <v>1.811222224057476E-13</v>
      </c>
      <c r="AC127" s="24">
        <f t="shared" si="57"/>
        <v>0.12594067086201002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264.16738206207805</v>
      </c>
      <c r="AO127" s="62">
        <f t="shared" si="90"/>
        <v>233.21990345647771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1.7304934303776498E-13</v>
      </c>
      <c r="AX127" s="23">
        <f t="shared" si="60"/>
        <v>1.7304934303776498E-13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2.8421709430404007E-14</v>
      </c>
      <c r="BE127" s="14">
        <f>BD127*VLOOKUP('Données projet'!$B$11,Paramètres!$A$1:$I$89,3,0)*VLOOKUP('Données projet'!$B$11,Paramètres!$A$1:$I$89,5,0)</f>
        <v>2.4829205358400945E-14</v>
      </c>
      <c r="BF127" s="14">
        <f t="shared" si="91"/>
        <v>4.3867331143352915E-13</v>
      </c>
      <c r="BG127" s="22">
        <f t="shared" si="61"/>
        <v>8.0726688341261168E-13</v>
      </c>
      <c r="BH127" s="62">
        <f t="shared" si="62"/>
        <v>326.70000000000078</v>
      </c>
      <c r="BI127" s="62">
        <f ca="1">AVERAGE(OFFSET($BH$3,0,0,'Données projet'!$E$11+1,1))-AVERAGE(OFFSET($H$3,0,0,'Données projet'!$E$11+1,1))</f>
        <v>316.00112010575197</v>
      </c>
      <c r="BJ127" s="62">
        <f t="shared" si="92"/>
        <v>345.16550310248078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2.6415865280279708E-13</v>
      </c>
      <c r="BS127" s="24">
        <f t="shared" si="63"/>
        <v>2.6415865280279708E-13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79.099999999999994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14.449500000000002</v>
      </c>
      <c r="D128" s="12">
        <f t="shared" si="86"/>
        <v>4.8797549809381175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19.39707692823966</v>
      </c>
      <c r="H128" s="70">
        <f t="shared" si="56"/>
        <v>323.69845242513384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326.70000000000186</v>
      </c>
      <c r="S128" s="62">
        <f ca="1">AVERAGE(OFFSET($R$3,0,0,'Données projet'!$E$9+1,1))-AVERAGE(OFFSET($H$3,0,0,'Données projet'!$E$9+1,1))</f>
        <v>358.51982625142648</v>
      </c>
      <c r="T128" s="62">
        <f t="shared" si="88"/>
        <v>432.55677461330856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0.12249681659418014</v>
      </c>
      <c r="AB128" s="23">
        <f>EXP(-LN(2)/2)*AB127+(1-EXP(-LN(2)/2))/(LN(2)/2)*V128*Y128*VLOOKUP('Données projet'!$B$9,Paramètres!$A$1:$I$89,3,0)*0.475*44/12</f>
        <v>1.2807275168668216E-13</v>
      </c>
      <c r="AC128" s="24">
        <f t="shared" si="57"/>
        <v>0.12249681659430822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264.16738206207805</v>
      </c>
      <c r="AO128" s="62">
        <f t="shared" si="90"/>
        <v>233.21990345647771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1.2236436394188068E-13</v>
      </c>
      <c r="AX128" s="23">
        <f t="shared" si="60"/>
        <v>1.2236436394188068E-13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2.8421709430404007E-14</v>
      </c>
      <c r="BE128" s="14">
        <f>BD128*VLOOKUP('Données projet'!$B$11,Paramètres!$A$1:$I$89,3,0)*VLOOKUP('Données projet'!$B$11,Paramètres!$A$1:$I$89,5,0)</f>
        <v>2.4829205358400945E-14</v>
      </c>
      <c r="BF128" s="14">
        <f t="shared" si="91"/>
        <v>4.3867331143352915E-13</v>
      </c>
      <c r="BG128" s="22">
        <f t="shared" si="61"/>
        <v>8.0726688341261168E-13</v>
      </c>
      <c r="BH128" s="62">
        <f t="shared" si="62"/>
        <v>326.70000000000078</v>
      </c>
      <c r="BI128" s="62">
        <f ca="1">AVERAGE(OFFSET($BH$3,0,0,'Données projet'!$E$11+1,1))-AVERAGE(OFFSET($H$3,0,0,'Données projet'!$E$11+1,1))</f>
        <v>316.00112010575197</v>
      </c>
      <c r="BJ128" s="62">
        <f t="shared" si="92"/>
        <v>345.16550310248078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1.8678837470596062E-13</v>
      </c>
      <c r="BS128" s="24">
        <f t="shared" si="63"/>
        <v>1.8678837470596062E-13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79.099999999999994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14.565096000000002</v>
      </c>
      <c r="D129" s="12">
        <f t="shared" si="86"/>
        <v>4.9142329801469185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19.54767750288428</v>
      </c>
      <c r="H129" s="70">
        <f t="shared" si="56"/>
        <v>323.95983130708919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326.70000000000186</v>
      </c>
      <c r="S129" s="62">
        <f ca="1">AVERAGE(OFFSET($R$3,0,0,'Données projet'!$E$9+1,1))-AVERAGE(OFFSET($H$3,0,0,'Données projet'!$E$9+1,1))</f>
        <v>358.51982625142648</v>
      </c>
      <c r="T129" s="62">
        <f t="shared" si="88"/>
        <v>432.55677461330856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0.11914713470258467</v>
      </c>
      <c r="AB129" s="23">
        <f>EXP(-LN(2)/2)*AB128+(1-EXP(-LN(2)/2))/(LN(2)/2)*V129*Y129*VLOOKUP('Données projet'!$B$9,Paramètres!$A$1:$I$89,3,0)*0.475*44/12</f>
        <v>9.0561111202873798E-14</v>
      </c>
      <c r="AC129" s="24">
        <f t="shared" si="57"/>
        <v>0.11914713470267524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264.16738206207805</v>
      </c>
      <c r="AO129" s="62">
        <f t="shared" si="90"/>
        <v>233.21990345647771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8.6524671518882492E-14</v>
      </c>
      <c r="AX129" s="23">
        <f t="shared" si="60"/>
        <v>8.6524671518882492E-14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2.8421709430404007E-14</v>
      </c>
      <c r="BE129" s="14">
        <f>BD129*VLOOKUP('Données projet'!$B$11,Paramètres!$A$1:$I$89,3,0)*VLOOKUP('Données projet'!$B$11,Paramètres!$A$1:$I$89,5,0)</f>
        <v>2.4829205358400945E-14</v>
      </c>
      <c r="BF129" s="14">
        <f t="shared" si="91"/>
        <v>4.3867331143352915E-13</v>
      </c>
      <c r="BG129" s="22">
        <f t="shared" si="61"/>
        <v>8.0726688341261168E-13</v>
      </c>
      <c r="BH129" s="62">
        <f t="shared" si="62"/>
        <v>326.70000000000078</v>
      </c>
      <c r="BI129" s="62">
        <f ca="1">AVERAGE(OFFSET($BH$3,0,0,'Données projet'!$E$11+1,1))-AVERAGE(OFFSET($H$3,0,0,'Données projet'!$E$11+1,1))</f>
        <v>316.00112010575197</v>
      </c>
      <c r="BJ129" s="62">
        <f t="shared" si="92"/>
        <v>345.16550310248078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1.3207932640139854E-13</v>
      </c>
      <c r="BS129" s="24">
        <f t="shared" si="63"/>
        <v>1.3207932640139854E-13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79.099999999999994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14.680692000000002</v>
      </c>
      <c r="D130" s="12">
        <f t="shared" si="86"/>
        <v>4.9486791426058208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19.698246129071105</v>
      </c>
      <c r="H130" s="70">
        <f t="shared" si="56"/>
        <v>324.22115474003846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326.70000000000186</v>
      </c>
      <c r="S130" s="62">
        <f ca="1">AVERAGE(OFFSET($R$3,0,0,'Données projet'!$E$9+1,1))-AVERAGE(OFFSET($H$3,0,0,'Données projet'!$E$9+1,1))</f>
        <v>358.51982625142648</v>
      </c>
      <c r="T130" s="62">
        <f t="shared" si="88"/>
        <v>432.55677461330856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0.115889050038467</v>
      </c>
      <c r="AB130" s="23">
        <f>EXP(-LN(2)/2)*AB129+(1-EXP(-LN(2)/2))/(LN(2)/2)*V130*Y130*VLOOKUP('Données projet'!$B$9,Paramètres!$A$1:$I$89,3,0)*0.475*44/12</f>
        <v>6.4036375843341079E-14</v>
      </c>
      <c r="AC130" s="24">
        <f t="shared" si="57"/>
        <v>0.11588905003853103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264.16738206207805</v>
      </c>
      <c r="AO130" s="62">
        <f t="shared" si="90"/>
        <v>233.21990345647771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6.1182181970940342E-14</v>
      </c>
      <c r="AX130" s="23">
        <f t="shared" si="60"/>
        <v>6.1182181970940342E-14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2.8421709430404007E-14</v>
      </c>
      <c r="BE130" s="14">
        <f>BD130*VLOOKUP('Données projet'!$B$11,Paramètres!$A$1:$I$89,3,0)*VLOOKUP('Données projet'!$B$11,Paramètres!$A$1:$I$89,5,0)</f>
        <v>2.4829205358400945E-14</v>
      </c>
      <c r="BF130" s="14">
        <f t="shared" si="91"/>
        <v>4.3867331143352915E-13</v>
      </c>
      <c r="BG130" s="22">
        <f t="shared" si="61"/>
        <v>8.0726688341261168E-13</v>
      </c>
      <c r="BH130" s="62">
        <f t="shared" si="62"/>
        <v>326.70000000000078</v>
      </c>
      <c r="BI130" s="62">
        <f ca="1">AVERAGE(OFFSET($BH$3,0,0,'Données projet'!$E$11+1,1))-AVERAGE(OFFSET($H$3,0,0,'Données projet'!$E$11+1,1))</f>
        <v>316.00112010575197</v>
      </c>
      <c r="BJ130" s="62">
        <f t="shared" si="92"/>
        <v>345.16550310248078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9.3394187352980309E-14</v>
      </c>
      <c r="BS130" s="24">
        <f t="shared" si="63"/>
        <v>9.3394187352980309E-14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79.099999999999994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14.796288000000002</v>
      </c>
      <c r="D131" s="12">
        <f t="shared" si="86"/>
        <v>4.9830937480549915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19.848783087521856</v>
      </c>
      <c r="H131" s="70">
        <f t="shared" si="56"/>
        <v>324.48242321119574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326.70000000000186</v>
      </c>
      <c r="S131" s="62">
        <f ca="1">AVERAGE(OFFSET($R$3,0,0,'Données projet'!$E$9+1,1))-AVERAGE(OFFSET($H$3,0,0,'Données projet'!$E$9+1,1))</f>
        <v>358.51982625142648</v>
      </c>
      <c r="T131" s="62">
        <f t="shared" si="88"/>
        <v>432.55677461330856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0.11272005787082484</v>
      </c>
      <c r="AB131" s="23">
        <f>EXP(-LN(2)/2)*AB130+(1-EXP(-LN(2)/2))/(LN(2)/2)*V131*Y131*VLOOKUP('Données projet'!$B$9,Paramètres!$A$1:$I$89,3,0)*0.475*44/12</f>
        <v>4.5280555601436899E-14</v>
      </c>
      <c r="AC131" s="24">
        <f t="shared" si="57"/>
        <v>0.11272005787087012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264.16738206207805</v>
      </c>
      <c r="AO131" s="62">
        <f t="shared" si="90"/>
        <v>233.21990345647771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4.3262335759441246E-14</v>
      </c>
      <c r="AX131" s="23">
        <f t="shared" si="60"/>
        <v>4.3262335759441246E-14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2.8421709430404007E-14</v>
      </c>
      <c r="BE131" s="14">
        <f>BD131*VLOOKUP('Données projet'!$B$11,Paramètres!$A$1:$I$89,3,0)*VLOOKUP('Données projet'!$B$11,Paramètres!$A$1:$I$89,5,0)</f>
        <v>2.4829205358400945E-14</v>
      </c>
      <c r="BF131" s="14">
        <f t="shared" si="91"/>
        <v>4.3867331143352915E-13</v>
      </c>
      <c r="BG131" s="22">
        <f t="shared" si="61"/>
        <v>8.0726688341261168E-13</v>
      </c>
      <c r="BH131" s="62">
        <f t="shared" si="62"/>
        <v>326.70000000000078</v>
      </c>
      <c r="BI131" s="62">
        <f ca="1">AVERAGE(OFFSET($BH$3,0,0,'Données projet'!$E$11+1,1))-AVERAGE(OFFSET($H$3,0,0,'Données projet'!$E$11+1,1))</f>
        <v>316.00112010575197</v>
      </c>
      <c r="BJ131" s="62">
        <f t="shared" si="92"/>
        <v>345.16550310248078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6.6039663200699271E-14</v>
      </c>
      <c r="BS131" s="24">
        <f t="shared" si="63"/>
        <v>6.6039663200699271E-14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79.099999999999994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14.911884000000002</v>
      </c>
      <c r="D132" s="12">
        <f t="shared" si="86"/>
        <v>5.0174770716112285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19.999288654318644</v>
      </c>
      <c r="H132" s="70">
        <f t="shared" ref="H132:H195" si="110">(B132+E132+F132)*44/12+(C132+D132)*0.475*44/12</f>
        <v>324.74363719972285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326.70000000000186</v>
      </c>
      <c r="S132" s="62">
        <f ca="1">AVERAGE(OFFSET($R$3,0,0,'Données projet'!$E$9+1,1))-AVERAGE(OFFSET($H$3,0,0,'Données projet'!$E$9+1,1))</f>
        <v>358.51982625142648</v>
      </c>
      <c r="T132" s="62">
        <f t="shared" si="88"/>
        <v>432.55677461330856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0.10963772196065692</v>
      </c>
      <c r="AB132" s="23">
        <f>EXP(-LN(2)/2)*AB131+(1-EXP(-LN(2)/2))/(LN(2)/2)*V132*Y132*VLOOKUP('Données projet'!$B$9,Paramètres!$A$1:$I$89,3,0)*0.475*44/12</f>
        <v>3.2018187921670539E-14</v>
      </c>
      <c r="AC132" s="24">
        <f t="shared" ref="AC132:AC153" si="111">SUM(Z132:AB132)</f>
        <v>0.10963772196068894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264.16738206207805</v>
      </c>
      <c r="AO132" s="62">
        <f t="shared" si="90"/>
        <v>233.21990345647771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3.0591090985470171E-14</v>
      </c>
      <c r="AX132" s="23">
        <f t="shared" ref="AX132:AX153" si="114">SUM(AU132:AW132)</f>
        <v>3.0591090985470171E-14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2.8421709430404007E-14</v>
      </c>
      <c r="BE132" s="14">
        <f>BD132*VLOOKUP('Données projet'!$B$11,Paramètres!$A$1:$I$89,3,0)*VLOOKUP('Données projet'!$B$11,Paramètres!$A$1:$I$89,5,0)</f>
        <v>2.4829205358400945E-14</v>
      </c>
      <c r="BF132" s="14">
        <f t="shared" si="91"/>
        <v>4.3867331143352915E-13</v>
      </c>
      <c r="BG132" s="22">
        <f t="shared" ref="BG132:BG153" si="115">(BE132+BF132)*0.475*44/12</f>
        <v>8.0726688341261168E-13</v>
      </c>
      <c r="BH132" s="62">
        <f t="shared" ref="BH132:BH195" si="116">BG132+(AY132+AZ132)*44/12</f>
        <v>326.70000000000078</v>
      </c>
      <c r="BI132" s="62">
        <f ca="1">AVERAGE(OFFSET($BH$3,0,0,'Données projet'!$E$11+1,1))-AVERAGE(OFFSET($H$3,0,0,'Données projet'!$E$11+1,1))</f>
        <v>316.00112010575197</v>
      </c>
      <c r="BJ132" s="62">
        <f t="shared" si="92"/>
        <v>345.16550310248078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4.6697093676490155E-14</v>
      </c>
      <c r="BS132" s="24">
        <f t="shared" ref="BS132:BS153" si="117">SUM(BP132:BR132)</f>
        <v>4.6697093676490155E-14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79.099999999999994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15.027480000000002</v>
      </c>
      <c r="D133" s="12">
        <f t="shared" ref="D133:D196" si="140">IFERROR(EXP(-1.0587+0.8836*LN(C133)+0.284),0)</f>
        <v>5.0518293838796211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20.149763101016045</v>
      </c>
      <c r="H133" s="70">
        <f t="shared" si="110"/>
        <v>325.00479717692366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326.70000000000186</v>
      </c>
      <c r="S133" s="62">
        <f ca="1">AVERAGE(OFFSET($R$3,0,0,'Données projet'!$E$9+1,1))-AVERAGE(OFFSET($H$3,0,0,'Données projet'!$E$9+1,1))</f>
        <v>358.51982625142648</v>
      </c>
      <c r="T133" s="62">
        <f t="shared" ref="T133:T196" si="142">$T$3</f>
        <v>432.55677461330856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0.10663967268804554</v>
      </c>
      <c r="AB133" s="23">
        <f>EXP(-LN(2)/2)*AB132+(1-EXP(-LN(2)/2))/(LN(2)/2)*V133*Y133*VLOOKUP('Données projet'!$B$9,Paramètres!$A$1:$I$89,3,0)*0.475*44/12</f>
        <v>2.264027780071845E-14</v>
      </c>
      <c r="AC133" s="24">
        <f t="shared" si="111"/>
        <v>0.10663967268806818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264.16738206207805</v>
      </c>
      <c r="AO133" s="62">
        <f t="shared" ref="AO133:AO196" si="144">$AO$3</f>
        <v>233.21990345647771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2.1631167879720623E-14</v>
      </c>
      <c r="AX133" s="23">
        <f t="shared" si="114"/>
        <v>2.1631167879720623E-14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2.8421709430404007E-14</v>
      </c>
      <c r="BE133" s="14">
        <f>BD133*VLOOKUP('Données projet'!$B$11,Paramètres!$A$1:$I$89,3,0)*VLOOKUP('Données projet'!$B$11,Paramètres!$A$1:$I$89,5,0)</f>
        <v>2.4829205358400945E-14</v>
      </c>
      <c r="BF133" s="14">
        <f t="shared" ref="BF133:BF153" si="145">EXP(-1.0587+0.8836*LN(BE133)+0.284)</f>
        <v>4.3867331143352915E-13</v>
      </c>
      <c r="BG133" s="22">
        <f t="shared" si="115"/>
        <v>8.0726688341261168E-13</v>
      </c>
      <c r="BH133" s="62">
        <f t="shared" si="116"/>
        <v>326.70000000000078</v>
      </c>
      <c r="BI133" s="62">
        <f ca="1">AVERAGE(OFFSET($BH$3,0,0,'Données projet'!$E$11+1,1))-AVERAGE(OFFSET($H$3,0,0,'Données projet'!$E$11+1,1))</f>
        <v>316.00112010575197</v>
      </c>
      <c r="BJ133" s="62">
        <f t="shared" ref="BJ133:BJ196" si="146">$BJ$3</f>
        <v>345.16550310248078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3.3019831600349635E-14</v>
      </c>
      <c r="BS133" s="24">
        <f t="shared" si="117"/>
        <v>3.3019831600349635E-14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79.099999999999994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15.143076000000002</v>
      </c>
      <c r="D134" s="12">
        <f t="shared" si="140"/>
        <v>5.0861509510616409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20.30020669474958</v>
      </c>
      <c r="H134" s="70">
        <f t="shared" si="110"/>
        <v>325.26590360643235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326.70000000000186</v>
      </c>
      <c r="S134" s="62">
        <f ca="1">AVERAGE(OFFSET($R$3,0,0,'Données projet'!$E$9+1,1))-AVERAGE(OFFSET($H$3,0,0,'Données projet'!$E$9+1,1))</f>
        <v>358.51982625142648</v>
      </c>
      <c r="T134" s="62">
        <f t="shared" si="142"/>
        <v>432.55677461330856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0.10372360523045428</v>
      </c>
      <c r="AB134" s="23">
        <f>EXP(-LN(2)/2)*AB133+(1-EXP(-LN(2)/2))/(LN(2)/2)*V134*Y134*VLOOKUP('Données projet'!$B$9,Paramètres!$A$1:$I$89,3,0)*0.475*44/12</f>
        <v>1.600909396083527E-14</v>
      </c>
      <c r="AC134" s="24">
        <f t="shared" si="111"/>
        <v>0.10372360523047029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264.16738206207805</v>
      </c>
      <c r="AO134" s="62">
        <f t="shared" si="144"/>
        <v>233.21990345647771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1.5295545492735086E-14</v>
      </c>
      <c r="AX134" s="23">
        <f t="shared" si="114"/>
        <v>1.5295545492735086E-14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2.8421709430404007E-14</v>
      </c>
      <c r="BE134" s="14">
        <f>BD134*VLOOKUP('Données projet'!$B$11,Paramètres!$A$1:$I$89,3,0)*VLOOKUP('Données projet'!$B$11,Paramètres!$A$1:$I$89,5,0)</f>
        <v>2.4829205358400945E-14</v>
      </c>
      <c r="BF134" s="14">
        <f t="shared" si="145"/>
        <v>4.3867331143352915E-13</v>
      </c>
      <c r="BG134" s="22">
        <f t="shared" si="115"/>
        <v>8.0726688341261168E-13</v>
      </c>
      <c r="BH134" s="62">
        <f t="shared" si="116"/>
        <v>326.70000000000078</v>
      </c>
      <c r="BI134" s="62">
        <f ca="1">AVERAGE(OFFSET($BH$3,0,0,'Données projet'!$E$11+1,1))-AVERAGE(OFFSET($H$3,0,0,'Données projet'!$E$11+1,1))</f>
        <v>316.00112010575197</v>
      </c>
      <c r="BJ134" s="62">
        <f t="shared" si="146"/>
        <v>345.16550310248078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2.3348546838245077E-14</v>
      </c>
      <c r="BS134" s="24">
        <f t="shared" si="117"/>
        <v>2.3348546838245077E-14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79.099999999999994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15.258672000000002</v>
      </c>
      <c r="D135" s="12">
        <f t="shared" si="140"/>
        <v>5.1204420350598721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20.450619698340784</v>
      </c>
      <c r="H135" s="70">
        <f t="shared" si="110"/>
        <v>325.52695694439592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326.70000000000186</v>
      </c>
      <c r="S135" s="62">
        <f ca="1">AVERAGE(OFFSET($R$3,0,0,'Données projet'!$E$9+1,1))-AVERAGE(OFFSET($H$3,0,0,'Données projet'!$E$9+1,1))</f>
        <v>358.51982625142648</v>
      </c>
      <c r="T135" s="62">
        <f t="shared" si="142"/>
        <v>432.55677461330856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0.10088727779084017</v>
      </c>
      <c r="AB135" s="23">
        <f>EXP(-LN(2)/2)*AB134+(1-EXP(-LN(2)/2))/(LN(2)/2)*V135*Y135*VLOOKUP('Données projet'!$B$9,Paramètres!$A$1:$I$89,3,0)*0.475*44/12</f>
        <v>1.1320138900359225E-14</v>
      </c>
      <c r="AC135" s="24">
        <f t="shared" si="111"/>
        <v>0.10088727779085149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264.16738206207805</v>
      </c>
      <c r="AO135" s="62">
        <f t="shared" si="144"/>
        <v>233.21990345647771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1.0815583939860311E-14</v>
      </c>
      <c r="AX135" s="23">
        <f t="shared" si="114"/>
        <v>1.0815583939860311E-14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2.8421709430404007E-14</v>
      </c>
      <c r="BE135" s="14">
        <f>BD135*VLOOKUP('Données projet'!$B$11,Paramètres!$A$1:$I$89,3,0)*VLOOKUP('Données projet'!$B$11,Paramètres!$A$1:$I$89,5,0)</f>
        <v>2.4829205358400945E-14</v>
      </c>
      <c r="BF135" s="14">
        <f t="shared" si="145"/>
        <v>4.3867331143352915E-13</v>
      </c>
      <c r="BG135" s="22">
        <f t="shared" si="115"/>
        <v>8.0726688341261168E-13</v>
      </c>
      <c r="BH135" s="62">
        <f t="shared" si="116"/>
        <v>326.70000000000078</v>
      </c>
      <c r="BI135" s="62">
        <f ca="1">AVERAGE(OFFSET($BH$3,0,0,'Données projet'!$E$11+1,1))-AVERAGE(OFFSET($H$3,0,0,'Données projet'!$E$11+1,1))</f>
        <v>316.00112010575197</v>
      </c>
      <c r="BJ135" s="62">
        <f t="shared" si="146"/>
        <v>345.16550310248078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1.6509915800174818E-14</v>
      </c>
      <c r="BS135" s="24">
        <f t="shared" si="117"/>
        <v>1.6509915800174818E-14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79.099999999999994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15.374268000000002</v>
      </c>
      <c r="D136" s="12">
        <f t="shared" si="140"/>
        <v>5.1547028935794561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20.601002370399037</v>
      </c>
      <c r="H136" s="70">
        <f t="shared" si="110"/>
        <v>325.78795763965087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326.70000000000186</v>
      </c>
      <c r="S136" s="62">
        <f ca="1">AVERAGE(OFFSET($R$3,0,0,'Données projet'!$E$9+1,1))-AVERAGE(OFFSET($H$3,0,0,'Données projet'!$E$9+1,1))</f>
        <v>358.51982625142648</v>
      </c>
      <c r="T136" s="62">
        <f t="shared" si="142"/>
        <v>432.55677461330856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9.8128509874218284E-2</v>
      </c>
      <c r="AB136" s="23">
        <f>EXP(-LN(2)/2)*AB135+(1-EXP(-LN(2)/2))/(LN(2)/2)*V136*Y136*VLOOKUP('Données projet'!$B$9,Paramètres!$A$1:$I$89,3,0)*0.475*44/12</f>
        <v>8.0045469804176348E-15</v>
      </c>
      <c r="AC136" s="24">
        <f t="shared" si="111"/>
        <v>9.8128509874226291E-2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264.16738206207805</v>
      </c>
      <c r="AO136" s="62">
        <f t="shared" si="144"/>
        <v>233.21990345647771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7.6477727463675428E-15</v>
      </c>
      <c r="AX136" s="23">
        <f t="shared" si="114"/>
        <v>7.6477727463675428E-15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2.8421709430404007E-14</v>
      </c>
      <c r="BE136" s="14">
        <f>BD136*VLOOKUP('Données projet'!$B$11,Paramètres!$A$1:$I$89,3,0)*VLOOKUP('Données projet'!$B$11,Paramètres!$A$1:$I$89,5,0)</f>
        <v>2.4829205358400945E-14</v>
      </c>
      <c r="BF136" s="14">
        <f t="shared" si="145"/>
        <v>4.3867331143352915E-13</v>
      </c>
      <c r="BG136" s="22">
        <f t="shared" si="115"/>
        <v>8.0726688341261168E-13</v>
      </c>
      <c r="BH136" s="62">
        <f t="shared" si="116"/>
        <v>326.70000000000078</v>
      </c>
      <c r="BI136" s="62">
        <f ca="1">AVERAGE(OFFSET($BH$3,0,0,'Données projet'!$E$11+1,1))-AVERAGE(OFFSET($H$3,0,0,'Données projet'!$E$11+1,1))</f>
        <v>316.00112010575197</v>
      </c>
      <c r="BJ136" s="62">
        <f t="shared" si="146"/>
        <v>345.16550310248078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1.1674273419122539E-14</v>
      </c>
      <c r="BS136" s="24">
        <f t="shared" si="117"/>
        <v>1.1674273419122539E-14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79.099999999999994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15.489864000000003</v>
      </c>
      <c r="D137" s="12">
        <f t="shared" si="140"/>
        <v>5.1889337802264146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20.751354965420195</v>
      </c>
      <c r="H137" s="70">
        <f t="shared" si="110"/>
        <v>326.04890613389432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326.70000000000186</v>
      </c>
      <c r="S137" s="62">
        <f ca="1">AVERAGE(OFFSET($R$3,0,0,'Données projet'!$E$9+1,1))-AVERAGE(OFFSET($H$3,0,0,'Données projet'!$E$9+1,1))</f>
        <v>358.51982625142648</v>
      </c>
      <c r="T137" s="62">
        <f t="shared" si="142"/>
        <v>432.55677461330856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9.5445180611353722E-2</v>
      </c>
      <c r="AB137" s="23">
        <f>EXP(-LN(2)/2)*AB136+(1-EXP(-LN(2)/2))/(LN(2)/2)*V137*Y137*VLOOKUP('Données projet'!$B$9,Paramètres!$A$1:$I$89,3,0)*0.475*44/12</f>
        <v>5.6600694501796124E-15</v>
      </c>
      <c r="AC137" s="24">
        <f t="shared" si="111"/>
        <v>9.5445180611359384E-2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264.16738206207805</v>
      </c>
      <c r="AO137" s="62">
        <f t="shared" si="144"/>
        <v>233.21990345647771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5.4077919699301557E-15</v>
      </c>
      <c r="AX137" s="23">
        <f t="shared" si="114"/>
        <v>5.4077919699301557E-15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2.8421709430404007E-14</v>
      </c>
      <c r="BE137" s="14">
        <f>BD137*VLOOKUP('Données projet'!$B$11,Paramètres!$A$1:$I$89,3,0)*VLOOKUP('Données projet'!$B$11,Paramètres!$A$1:$I$89,5,0)</f>
        <v>2.4829205358400945E-14</v>
      </c>
      <c r="BF137" s="14">
        <f t="shared" si="145"/>
        <v>4.3867331143352915E-13</v>
      </c>
      <c r="BG137" s="22">
        <f t="shared" si="115"/>
        <v>8.0726688341261168E-13</v>
      </c>
      <c r="BH137" s="62">
        <f t="shared" si="116"/>
        <v>326.70000000000078</v>
      </c>
      <c r="BI137" s="62">
        <f ca="1">AVERAGE(OFFSET($BH$3,0,0,'Données projet'!$E$11+1,1))-AVERAGE(OFFSET($H$3,0,0,'Données projet'!$E$11+1,1))</f>
        <v>316.00112010575197</v>
      </c>
      <c r="BJ137" s="62">
        <f t="shared" si="146"/>
        <v>345.16550310248078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8.2549579000874089E-15</v>
      </c>
      <c r="BS137" s="24">
        <f t="shared" si="117"/>
        <v>8.2549579000874089E-15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79.099999999999994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15.605460000000003</v>
      </c>
      <c r="D138" s="12">
        <f t="shared" si="140"/>
        <v>5.2231349446029327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20.901677733882241</v>
      </c>
      <c r="H138" s="70">
        <f t="shared" si="110"/>
        <v>326.30980286185007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326.70000000000186</v>
      </c>
      <c r="S138" s="62">
        <f ca="1">AVERAGE(OFFSET($R$3,0,0,'Données projet'!$E$9+1,1))-AVERAGE(OFFSET($H$3,0,0,'Données projet'!$E$9+1,1))</f>
        <v>358.51982625142648</v>
      </c>
      <c r="T138" s="62">
        <f t="shared" si="142"/>
        <v>432.55677461330856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9.2835227128292355E-2</v>
      </c>
      <c r="AB138" s="23">
        <f>EXP(-LN(2)/2)*AB137+(1-EXP(-LN(2)/2))/(LN(2)/2)*V138*Y138*VLOOKUP('Données projet'!$B$9,Paramètres!$A$1:$I$89,3,0)*0.475*44/12</f>
        <v>4.0022734902088174E-15</v>
      </c>
      <c r="AC138" s="24">
        <f t="shared" si="111"/>
        <v>9.2835227128296352E-2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264.16738206207805</v>
      </c>
      <c r="AO138" s="62">
        <f t="shared" si="144"/>
        <v>233.21990345647771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3.8238863731837714E-15</v>
      </c>
      <c r="AX138" s="23">
        <f t="shared" si="114"/>
        <v>3.8238863731837714E-15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2.8421709430404007E-14</v>
      </c>
      <c r="BE138" s="14">
        <f>BD138*VLOOKUP('Données projet'!$B$11,Paramètres!$A$1:$I$89,3,0)*VLOOKUP('Données projet'!$B$11,Paramètres!$A$1:$I$89,5,0)</f>
        <v>2.4829205358400945E-14</v>
      </c>
      <c r="BF138" s="14">
        <f t="shared" si="145"/>
        <v>4.3867331143352915E-13</v>
      </c>
      <c r="BG138" s="22">
        <f t="shared" si="115"/>
        <v>8.0726688341261168E-13</v>
      </c>
      <c r="BH138" s="62">
        <f t="shared" si="116"/>
        <v>326.70000000000078</v>
      </c>
      <c r="BI138" s="62">
        <f ca="1">AVERAGE(OFFSET($BH$3,0,0,'Données projet'!$E$11+1,1))-AVERAGE(OFFSET($H$3,0,0,'Données projet'!$E$11+1,1))</f>
        <v>316.00112010575197</v>
      </c>
      <c r="BJ138" s="62">
        <f t="shared" si="146"/>
        <v>345.16550310248078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5.8371367095612693E-15</v>
      </c>
      <c r="BS138" s="24">
        <f t="shared" si="117"/>
        <v>5.8371367095612693E-15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79.099999999999994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15.721056000000003</v>
      </c>
      <c r="D139" s="12">
        <f t="shared" si="140"/>
        <v>5.2573066323997484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21.051970922337997</v>
      </c>
      <c r="H139" s="70">
        <f t="shared" si="110"/>
        <v>326.57064825142953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326.70000000000186</v>
      </c>
      <c r="S139" s="62">
        <f ca="1">AVERAGE(OFFSET($R$3,0,0,'Données projet'!$E$9+1,1))-AVERAGE(OFFSET($H$3,0,0,'Données projet'!$E$9+1,1))</f>
        <v>358.51982625142648</v>
      </c>
      <c r="T139" s="62">
        <f t="shared" si="142"/>
        <v>432.55677461330856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9.0296642960476778E-2</v>
      </c>
      <c r="AB139" s="23">
        <f>EXP(-LN(2)/2)*AB138+(1-EXP(-LN(2)/2))/(LN(2)/2)*V139*Y139*VLOOKUP('Données projet'!$B$9,Paramètres!$A$1:$I$89,3,0)*0.475*44/12</f>
        <v>2.8300347250898062E-15</v>
      </c>
      <c r="AC139" s="24">
        <f t="shared" si="111"/>
        <v>9.0296642960479609E-2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264.16738206207805</v>
      </c>
      <c r="AO139" s="62">
        <f t="shared" si="144"/>
        <v>233.21990345647771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2.7038959849650779E-15</v>
      </c>
      <c r="AX139" s="23">
        <f t="shared" si="114"/>
        <v>2.7038959849650779E-15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2.8421709430404007E-14</v>
      </c>
      <c r="BE139" s="14">
        <f>BD139*VLOOKUP('Données projet'!$B$11,Paramètres!$A$1:$I$89,3,0)*VLOOKUP('Données projet'!$B$11,Paramètres!$A$1:$I$89,5,0)</f>
        <v>2.4829205358400945E-14</v>
      </c>
      <c r="BF139" s="14">
        <f t="shared" si="145"/>
        <v>4.3867331143352915E-13</v>
      </c>
      <c r="BG139" s="22">
        <f t="shared" si="115"/>
        <v>8.0726688341261168E-13</v>
      </c>
      <c r="BH139" s="62">
        <f t="shared" si="116"/>
        <v>326.70000000000078</v>
      </c>
      <c r="BI139" s="62">
        <f ca="1">AVERAGE(OFFSET($BH$3,0,0,'Données projet'!$E$11+1,1))-AVERAGE(OFFSET($H$3,0,0,'Données projet'!$E$11+1,1))</f>
        <v>316.00112010575197</v>
      </c>
      <c r="BJ139" s="62">
        <f t="shared" si="146"/>
        <v>345.16550310248078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4.1274789500437044E-15</v>
      </c>
      <c r="BS139" s="24">
        <f t="shared" si="117"/>
        <v>4.1274789500437044E-15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79.099999999999994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15.836652000000003</v>
      </c>
      <c r="D140" s="12">
        <f t="shared" si="140"/>
        <v>5.2914490854857652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21.202234773505015</v>
      </c>
      <c r="H140" s="70">
        <f t="shared" si="110"/>
        <v>326.83144272388768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326.70000000000186</v>
      </c>
      <c r="S140" s="62">
        <f ca="1">AVERAGE(OFFSET($R$3,0,0,'Données projet'!$E$9+1,1))-AVERAGE(OFFSET($H$3,0,0,'Données projet'!$E$9+1,1))</f>
        <v>358.51982625142648</v>
      </c>
      <c r="T140" s="62">
        <f t="shared" si="142"/>
        <v>432.55677461330856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8.7827476510228458E-2</v>
      </c>
      <c r="AB140" s="23">
        <f>EXP(-LN(2)/2)*AB139+(1-EXP(-LN(2)/2))/(LN(2)/2)*V140*Y140*VLOOKUP('Données projet'!$B$9,Paramètres!$A$1:$I$89,3,0)*0.475*44/12</f>
        <v>2.0011367451044087E-15</v>
      </c>
      <c r="AC140" s="24">
        <f t="shared" si="111"/>
        <v>8.7827476510230457E-2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264.16738206207805</v>
      </c>
      <c r="AO140" s="62">
        <f t="shared" si="144"/>
        <v>233.21990345647771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1.9119431865918857E-15</v>
      </c>
      <c r="AX140" s="23">
        <f t="shared" si="114"/>
        <v>1.9119431865918857E-15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2.8421709430404007E-14</v>
      </c>
      <c r="BE140" s="14">
        <f>BD140*VLOOKUP('Données projet'!$B$11,Paramètres!$A$1:$I$89,3,0)*VLOOKUP('Données projet'!$B$11,Paramètres!$A$1:$I$89,5,0)</f>
        <v>2.4829205358400945E-14</v>
      </c>
      <c r="BF140" s="14">
        <f t="shared" si="145"/>
        <v>4.3867331143352915E-13</v>
      </c>
      <c r="BG140" s="22">
        <f t="shared" si="115"/>
        <v>8.0726688341261168E-13</v>
      </c>
      <c r="BH140" s="62">
        <f t="shared" si="116"/>
        <v>326.70000000000078</v>
      </c>
      <c r="BI140" s="62">
        <f ca="1">AVERAGE(OFFSET($BH$3,0,0,'Données projet'!$E$11+1,1))-AVERAGE(OFFSET($H$3,0,0,'Données projet'!$E$11+1,1))</f>
        <v>316.00112010575197</v>
      </c>
      <c r="BJ140" s="62">
        <f t="shared" si="146"/>
        <v>345.16550310248078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2.9185683547806347E-15</v>
      </c>
      <c r="BS140" s="24">
        <f t="shared" si="117"/>
        <v>2.9185683547806347E-15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79.099999999999994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15.952248000000003</v>
      </c>
      <c r="D141" s="12">
        <f t="shared" si="140"/>
        <v>5.3255625419949286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21.352469526352809</v>
      </c>
      <c r="H141" s="70">
        <f t="shared" si="110"/>
        <v>327.0921866939745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326.70000000000186</v>
      </c>
      <c r="S141" s="62">
        <f ca="1">AVERAGE(OFFSET($R$3,0,0,'Données projet'!$E$9+1,1))-AVERAGE(OFFSET($H$3,0,0,'Données projet'!$E$9+1,1))</f>
        <v>358.51982625142648</v>
      </c>
      <c r="T141" s="62">
        <f t="shared" si="142"/>
        <v>432.55677461330856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8.5425829546410009E-2</v>
      </c>
      <c r="AB141" s="23">
        <f>EXP(-LN(2)/2)*AB140+(1-EXP(-LN(2)/2))/(LN(2)/2)*V141*Y141*VLOOKUP('Données projet'!$B$9,Paramètres!$A$1:$I$89,3,0)*0.475*44/12</f>
        <v>1.4150173625449031E-15</v>
      </c>
      <c r="AC141" s="24">
        <f t="shared" si="111"/>
        <v>8.5425829546411425E-2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264.16738206207805</v>
      </c>
      <c r="AO141" s="62">
        <f t="shared" si="144"/>
        <v>233.21990345647771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1.3519479924825389E-15</v>
      </c>
      <c r="AX141" s="23">
        <f t="shared" si="114"/>
        <v>1.3519479924825389E-15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2.8421709430404007E-14</v>
      </c>
      <c r="BE141" s="14">
        <f>BD141*VLOOKUP('Données projet'!$B$11,Paramètres!$A$1:$I$89,3,0)*VLOOKUP('Données projet'!$B$11,Paramètres!$A$1:$I$89,5,0)</f>
        <v>2.4829205358400945E-14</v>
      </c>
      <c r="BF141" s="14">
        <f t="shared" si="145"/>
        <v>4.3867331143352915E-13</v>
      </c>
      <c r="BG141" s="22">
        <f t="shared" si="115"/>
        <v>8.0726688341261168E-13</v>
      </c>
      <c r="BH141" s="62">
        <f t="shared" si="116"/>
        <v>326.70000000000078</v>
      </c>
      <c r="BI141" s="62">
        <f ca="1">AVERAGE(OFFSET($BH$3,0,0,'Données projet'!$E$11+1,1))-AVERAGE(OFFSET($H$3,0,0,'Données projet'!$E$11+1,1))</f>
        <v>316.00112010575197</v>
      </c>
      <c r="BJ141" s="62">
        <f t="shared" si="146"/>
        <v>345.16550310248078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2.0637394750218522E-15</v>
      </c>
      <c r="BS141" s="24">
        <f t="shared" si="117"/>
        <v>2.0637394750218522E-15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79.099999999999994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16.067844000000001</v>
      </c>
      <c r="D142" s="12">
        <f t="shared" si="140"/>
        <v>5.3596472364105585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21.50267541618744</v>
      </c>
      <c r="H142" s="70">
        <f t="shared" si="110"/>
        <v>327.35288057008171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326.70000000000186</v>
      </c>
      <c r="S142" s="62">
        <f ca="1">AVERAGE(OFFSET($R$3,0,0,'Données projet'!$E$9+1,1))-AVERAGE(OFFSET($H$3,0,0,'Données projet'!$E$9+1,1))</f>
        <v>358.51982625142648</v>
      </c>
      <c r="T142" s="62">
        <f t="shared" si="142"/>
        <v>432.55677461330856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8.3089855745114294E-2</v>
      </c>
      <c r="AB142" s="23">
        <f>EXP(-LN(2)/2)*AB141+(1-EXP(-LN(2)/2))/(LN(2)/2)*V142*Y142*VLOOKUP('Données projet'!$B$9,Paramètres!$A$1:$I$89,3,0)*0.475*44/12</f>
        <v>1.0005683725522044E-15</v>
      </c>
      <c r="AC142" s="24">
        <f t="shared" si="111"/>
        <v>8.3089855745115293E-2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264.16738206207805</v>
      </c>
      <c r="AO142" s="62">
        <f t="shared" si="144"/>
        <v>233.21990345647771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9.5597159329594285E-16</v>
      </c>
      <c r="AX142" s="23">
        <f t="shared" si="114"/>
        <v>9.5597159329594285E-16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2.8421709430404007E-14</v>
      </c>
      <c r="BE142" s="14">
        <f>BD142*VLOOKUP('Données projet'!$B$11,Paramètres!$A$1:$I$89,3,0)*VLOOKUP('Données projet'!$B$11,Paramètres!$A$1:$I$89,5,0)</f>
        <v>2.4829205358400945E-14</v>
      </c>
      <c r="BF142" s="14">
        <f t="shared" si="145"/>
        <v>4.3867331143352915E-13</v>
      </c>
      <c r="BG142" s="22">
        <f t="shared" si="115"/>
        <v>8.0726688341261168E-13</v>
      </c>
      <c r="BH142" s="62">
        <f t="shared" si="116"/>
        <v>326.70000000000078</v>
      </c>
      <c r="BI142" s="62">
        <f ca="1">AVERAGE(OFFSET($BH$3,0,0,'Données projet'!$E$11+1,1))-AVERAGE(OFFSET($H$3,0,0,'Données projet'!$E$11+1,1))</f>
        <v>316.00112010575197</v>
      </c>
      <c r="BJ142" s="62">
        <f t="shared" si="146"/>
        <v>345.16550310248078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1.4592841773903173E-15</v>
      </c>
      <c r="BS142" s="24">
        <f t="shared" si="117"/>
        <v>1.4592841773903173E-15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79.099999999999994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16.183440000000001</v>
      </c>
      <c r="D143" s="12">
        <f t="shared" si="140"/>
        <v>5.3937033996471619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21.652852674733648</v>
      </c>
      <c r="H143" s="70">
        <f t="shared" si="110"/>
        <v>327.61352475438542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326.70000000000186</v>
      </c>
      <c r="S143" s="62">
        <f ca="1">AVERAGE(OFFSET($R$3,0,0,'Données projet'!$E$9+1,1))-AVERAGE(OFFSET($H$3,0,0,'Données projet'!$E$9+1,1))</f>
        <v>358.51982625142648</v>
      </c>
      <c r="T143" s="62">
        <f t="shared" si="142"/>
        <v>432.55677461330856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8.0817759270258541E-2</v>
      </c>
      <c r="AB143" s="23">
        <f>EXP(-LN(2)/2)*AB142+(1-EXP(-LN(2)/2))/(LN(2)/2)*V143*Y143*VLOOKUP('Données projet'!$B$9,Paramètres!$A$1:$I$89,3,0)*0.475*44/12</f>
        <v>7.0750868127245155E-16</v>
      </c>
      <c r="AC143" s="24">
        <f t="shared" si="111"/>
        <v>8.0817759270259248E-2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264.16738206207805</v>
      </c>
      <c r="AO143" s="62">
        <f t="shared" si="144"/>
        <v>233.21990345647771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6.7597399624126947E-16</v>
      </c>
      <c r="AX143" s="23">
        <f t="shared" si="114"/>
        <v>6.7597399624126947E-16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2.8421709430404007E-14</v>
      </c>
      <c r="BE143" s="14">
        <f>BD143*VLOOKUP('Données projet'!$B$11,Paramètres!$A$1:$I$89,3,0)*VLOOKUP('Données projet'!$B$11,Paramètres!$A$1:$I$89,5,0)</f>
        <v>2.4829205358400945E-14</v>
      </c>
      <c r="BF143" s="14">
        <f t="shared" si="145"/>
        <v>4.3867331143352915E-13</v>
      </c>
      <c r="BG143" s="22">
        <f t="shared" si="115"/>
        <v>8.0726688341261168E-13</v>
      </c>
      <c r="BH143" s="62">
        <f t="shared" si="116"/>
        <v>326.70000000000078</v>
      </c>
      <c r="BI143" s="62">
        <f ca="1">AVERAGE(OFFSET($BH$3,0,0,'Données projet'!$E$11+1,1))-AVERAGE(OFFSET($H$3,0,0,'Données projet'!$E$11+1,1))</f>
        <v>316.00112010575197</v>
      </c>
      <c r="BJ143" s="62">
        <f t="shared" si="146"/>
        <v>345.16550310248078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1.0318697375109261E-15</v>
      </c>
      <c r="BS143" s="24">
        <f t="shared" si="117"/>
        <v>1.0318697375109261E-15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79.099999999999994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16.299036000000001</v>
      </c>
      <c r="D144" s="12">
        <f t="shared" si="140"/>
        <v>5.4277312591298328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21.803001530214502</v>
      </c>
      <c r="H144" s="70">
        <f t="shared" si="110"/>
        <v>327.8741196429844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326.70000000000186</v>
      </c>
      <c r="S144" s="62">
        <f ca="1">AVERAGE(OFFSET($R$3,0,0,'Données projet'!$E$9+1,1))-AVERAGE(OFFSET($H$3,0,0,'Données projet'!$E$9+1,1))</f>
        <v>358.51982625142648</v>
      </c>
      <c r="T144" s="62">
        <f t="shared" si="142"/>
        <v>432.55677461330856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7.8607793392992079E-2</v>
      </c>
      <c r="AB144" s="23">
        <f>EXP(-LN(2)/2)*AB143+(1-EXP(-LN(2)/2))/(LN(2)/2)*V144*Y144*VLOOKUP('Données projet'!$B$9,Paramètres!$A$1:$I$89,3,0)*0.475*44/12</f>
        <v>5.0028418627610218E-16</v>
      </c>
      <c r="AC144" s="24">
        <f t="shared" si="111"/>
        <v>7.8607793392992578E-2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264.16738206207805</v>
      </c>
      <c r="AO144" s="62">
        <f t="shared" si="144"/>
        <v>233.21990345647771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4.7798579664797142E-16</v>
      </c>
      <c r="AX144" s="23">
        <f t="shared" si="114"/>
        <v>4.7798579664797142E-16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2.8421709430404007E-14</v>
      </c>
      <c r="BE144" s="14">
        <f>BD144*VLOOKUP('Données projet'!$B$11,Paramètres!$A$1:$I$89,3,0)*VLOOKUP('Données projet'!$B$11,Paramètres!$A$1:$I$89,5,0)</f>
        <v>2.4829205358400945E-14</v>
      </c>
      <c r="BF144" s="14">
        <f t="shared" si="145"/>
        <v>4.3867331143352915E-13</v>
      </c>
      <c r="BG144" s="22">
        <f t="shared" si="115"/>
        <v>8.0726688341261168E-13</v>
      </c>
      <c r="BH144" s="62">
        <f t="shared" si="116"/>
        <v>326.70000000000078</v>
      </c>
      <c r="BI144" s="62">
        <f ca="1">AVERAGE(OFFSET($BH$3,0,0,'Données projet'!$E$11+1,1))-AVERAGE(OFFSET($H$3,0,0,'Données projet'!$E$11+1,1))</f>
        <v>316.00112010575197</v>
      </c>
      <c r="BJ144" s="62">
        <f t="shared" si="146"/>
        <v>345.16550310248078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7.2964208869515866E-16</v>
      </c>
      <c r="BS144" s="24">
        <f t="shared" si="117"/>
        <v>7.2964208869515866E-16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79.099999999999994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16.414632000000001</v>
      </c>
      <c r="D145" s="12">
        <f t="shared" si="140"/>
        <v>5.461731038871358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21.953122207428805</v>
      </c>
      <c r="H145" s="70">
        <f t="shared" si="110"/>
        <v>328.13466562603423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326.70000000000186</v>
      </c>
      <c r="S145" s="62">
        <f ca="1">AVERAGE(OFFSET($R$3,0,0,'Données projet'!$E$9+1,1))-AVERAGE(OFFSET($H$3,0,0,'Données projet'!$E$9+1,1))</f>
        <v>358.51982625142648</v>
      </c>
      <c r="T145" s="62">
        <f t="shared" si="142"/>
        <v>432.55677461330856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7.6458259148856511E-2</v>
      </c>
      <c r="AB145" s="23">
        <f>EXP(-LN(2)/2)*AB144+(1-EXP(-LN(2)/2))/(LN(2)/2)*V145*Y145*VLOOKUP('Données projet'!$B$9,Paramètres!$A$1:$I$89,3,0)*0.475*44/12</f>
        <v>3.5375434063622577E-16</v>
      </c>
      <c r="AC145" s="24">
        <f t="shared" si="111"/>
        <v>7.6458259148856858E-2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264.16738206207805</v>
      </c>
      <c r="AO145" s="62">
        <f t="shared" si="144"/>
        <v>233.21990345647771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3.3798699812063473E-16</v>
      </c>
      <c r="AX145" s="23">
        <f t="shared" si="114"/>
        <v>3.3798699812063473E-16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2.8421709430404007E-14</v>
      </c>
      <c r="BE145" s="14">
        <f>BD145*VLOOKUP('Données projet'!$B$11,Paramètres!$A$1:$I$89,3,0)*VLOOKUP('Données projet'!$B$11,Paramètres!$A$1:$I$89,5,0)</f>
        <v>2.4829205358400945E-14</v>
      </c>
      <c r="BF145" s="14">
        <f t="shared" si="145"/>
        <v>4.3867331143352915E-13</v>
      </c>
      <c r="BG145" s="22">
        <f t="shared" si="115"/>
        <v>8.0726688341261168E-13</v>
      </c>
      <c r="BH145" s="62">
        <f t="shared" si="116"/>
        <v>326.70000000000078</v>
      </c>
      <c r="BI145" s="62">
        <f ca="1">AVERAGE(OFFSET($BH$3,0,0,'Données projet'!$E$11+1,1))-AVERAGE(OFFSET($H$3,0,0,'Données projet'!$E$11+1,1))</f>
        <v>316.00112010575197</v>
      </c>
      <c r="BJ145" s="62">
        <f t="shared" si="146"/>
        <v>345.16550310248078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5.1593486875546305E-16</v>
      </c>
      <c r="BS145" s="24">
        <f t="shared" si="117"/>
        <v>5.1593486875546305E-16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79.099999999999994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16.530228000000001</v>
      </c>
      <c r="D146" s="12">
        <f t="shared" si="140"/>
        <v>5.4957029595470779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22.10321492782619</v>
      </c>
      <c r="H146" s="70">
        <f t="shared" si="110"/>
        <v>328.39516308787779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326.70000000000186</v>
      </c>
      <c r="S146" s="62">
        <f ca="1">AVERAGE(OFFSET($R$3,0,0,'Données projet'!$E$9+1,1))-AVERAGE(OFFSET($H$3,0,0,'Données projet'!$E$9+1,1))</f>
        <v>358.51982625142648</v>
      </c>
      <c r="T146" s="62">
        <f t="shared" si="142"/>
        <v>432.55677461330856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7.4367504031665935E-2</v>
      </c>
      <c r="AB146" s="23">
        <f>EXP(-LN(2)/2)*AB145+(1-EXP(-LN(2)/2))/(LN(2)/2)*V146*Y146*VLOOKUP('Données projet'!$B$9,Paramètres!$A$1:$I$89,3,0)*0.475*44/12</f>
        <v>2.5014209313805109E-16</v>
      </c>
      <c r="AC146" s="24">
        <f t="shared" si="111"/>
        <v>7.4367504031666185E-2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264.16738206207805</v>
      </c>
      <c r="AO146" s="62">
        <f t="shared" si="144"/>
        <v>233.21990345647771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2.3899289832398571E-16</v>
      </c>
      <c r="AX146" s="23">
        <f t="shared" si="114"/>
        <v>2.3899289832398571E-16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2.8421709430404007E-14</v>
      </c>
      <c r="BE146" s="14">
        <f>BD146*VLOOKUP('Données projet'!$B$11,Paramètres!$A$1:$I$89,3,0)*VLOOKUP('Données projet'!$B$11,Paramètres!$A$1:$I$89,5,0)</f>
        <v>2.4829205358400945E-14</v>
      </c>
      <c r="BF146" s="14">
        <f t="shared" si="145"/>
        <v>4.3867331143352915E-13</v>
      </c>
      <c r="BG146" s="22">
        <f t="shared" si="115"/>
        <v>8.0726688341261168E-13</v>
      </c>
      <c r="BH146" s="62">
        <f t="shared" si="116"/>
        <v>326.70000000000078</v>
      </c>
      <c r="BI146" s="62">
        <f ca="1">AVERAGE(OFFSET($BH$3,0,0,'Données projet'!$E$11+1,1))-AVERAGE(OFFSET($H$3,0,0,'Données projet'!$E$11+1,1))</f>
        <v>316.00112010575197</v>
      </c>
      <c r="BJ146" s="62">
        <f t="shared" si="146"/>
        <v>345.16550310248078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3.6482104434757933E-16</v>
      </c>
      <c r="BS146" s="24">
        <f t="shared" si="117"/>
        <v>3.6482104434757933E-16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79.099999999999994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16.645824000000001</v>
      </c>
      <c r="D147" s="12">
        <f t="shared" si="140"/>
        <v>5.5296472385675814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22.253279909580101</v>
      </c>
      <c r="H147" s="70">
        <f t="shared" si="110"/>
        <v>328.65561240717182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326.70000000000186</v>
      </c>
      <c r="S147" s="62">
        <f ca="1">AVERAGE(OFFSET($R$3,0,0,'Données projet'!$E$9+1,1))-AVERAGE(OFFSET($H$3,0,0,'Données projet'!$E$9+1,1))</f>
        <v>358.51982625142648</v>
      </c>
      <c r="T147" s="62">
        <f t="shared" si="142"/>
        <v>432.55677461330856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7.2333920723102962E-2</v>
      </c>
      <c r="AB147" s="23">
        <f>EXP(-LN(2)/2)*AB146+(1-EXP(-LN(2)/2))/(LN(2)/2)*V147*Y147*VLOOKUP('Données projet'!$B$9,Paramètres!$A$1:$I$89,3,0)*0.475*44/12</f>
        <v>1.7687717031811289E-16</v>
      </c>
      <c r="AC147" s="24">
        <f t="shared" si="111"/>
        <v>7.2333920723103143E-2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264.16738206207805</v>
      </c>
      <c r="AO147" s="62">
        <f t="shared" si="144"/>
        <v>233.21990345647771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1.6899349906031737E-16</v>
      </c>
      <c r="AX147" s="23">
        <f t="shared" si="114"/>
        <v>1.6899349906031737E-16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2.8421709430404007E-14</v>
      </c>
      <c r="BE147" s="14">
        <f>BD147*VLOOKUP('Données projet'!$B$11,Paramètres!$A$1:$I$89,3,0)*VLOOKUP('Données projet'!$B$11,Paramètres!$A$1:$I$89,5,0)</f>
        <v>2.4829205358400945E-14</v>
      </c>
      <c r="BF147" s="14">
        <f t="shared" si="145"/>
        <v>4.3867331143352915E-13</v>
      </c>
      <c r="BG147" s="22">
        <f t="shared" si="115"/>
        <v>8.0726688341261168E-13</v>
      </c>
      <c r="BH147" s="62">
        <f t="shared" si="116"/>
        <v>326.70000000000078</v>
      </c>
      <c r="BI147" s="62">
        <f ca="1">AVERAGE(OFFSET($BH$3,0,0,'Données projet'!$E$11+1,1))-AVERAGE(OFFSET($H$3,0,0,'Données projet'!$E$11+1,1))</f>
        <v>316.00112010575197</v>
      </c>
      <c r="BJ147" s="62">
        <f t="shared" si="146"/>
        <v>345.16550310248078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2.5796743437773153E-16</v>
      </c>
      <c r="BS147" s="24">
        <f t="shared" si="117"/>
        <v>2.5796743437773153E-16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79.099999999999994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16.761420000000001</v>
      </c>
      <c r="D148" s="12">
        <f t="shared" si="140"/>
        <v>5.5635640901493444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22.403317367658644</v>
      </c>
      <c r="H148" s="70">
        <f t="shared" si="110"/>
        <v>328.91601395701008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326.70000000000186</v>
      </c>
      <c r="S148" s="62">
        <f ca="1">AVERAGE(OFFSET($R$3,0,0,'Données projet'!$E$9+1,1))-AVERAGE(OFFSET($H$3,0,0,'Données projet'!$E$9+1,1))</f>
        <v>358.51982625142648</v>
      </c>
      <c r="T148" s="62">
        <f t="shared" si="142"/>
        <v>432.55677461330856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7.0355945857054139E-2</v>
      </c>
      <c r="AB148" s="23">
        <f>EXP(-LN(2)/2)*AB147+(1-EXP(-LN(2)/2))/(LN(2)/2)*V148*Y148*VLOOKUP('Données projet'!$B$9,Paramètres!$A$1:$I$89,3,0)*0.475*44/12</f>
        <v>1.2507104656902554E-16</v>
      </c>
      <c r="AC148" s="24">
        <f t="shared" si="111"/>
        <v>7.0355945857054264E-2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264.16738206207805</v>
      </c>
      <c r="AO148" s="62">
        <f t="shared" si="144"/>
        <v>233.21990345647771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1.1949644916199286E-16</v>
      </c>
      <c r="AX148" s="23">
        <f t="shared" si="114"/>
        <v>1.1949644916199286E-16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2.8421709430404007E-14</v>
      </c>
      <c r="BE148" s="14">
        <f>BD148*VLOOKUP('Données projet'!$B$11,Paramètres!$A$1:$I$89,3,0)*VLOOKUP('Données projet'!$B$11,Paramètres!$A$1:$I$89,5,0)</f>
        <v>2.4829205358400945E-14</v>
      </c>
      <c r="BF148" s="14">
        <f t="shared" si="145"/>
        <v>4.3867331143352915E-13</v>
      </c>
      <c r="BG148" s="22">
        <f t="shared" si="115"/>
        <v>8.0726688341261168E-13</v>
      </c>
      <c r="BH148" s="62">
        <f t="shared" si="116"/>
        <v>326.70000000000078</v>
      </c>
      <c r="BI148" s="62">
        <f ca="1">AVERAGE(OFFSET($BH$3,0,0,'Données projet'!$E$11+1,1))-AVERAGE(OFFSET($H$3,0,0,'Données projet'!$E$11+1,1))</f>
        <v>316.00112010575197</v>
      </c>
      <c r="BJ148" s="62">
        <f t="shared" si="146"/>
        <v>345.16550310248078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1.8241052217378967E-16</v>
      </c>
      <c r="BS148" s="24">
        <f t="shared" si="117"/>
        <v>1.8241052217378967E-16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79.099999999999994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16.877016000000001</v>
      </c>
      <c r="D149" s="12">
        <f t="shared" si="140"/>
        <v>5.5974537253833487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22.553327513893468</v>
      </c>
      <c r="H149" s="70">
        <f t="shared" si="110"/>
        <v>329.17636810504263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326.70000000000186</v>
      </c>
      <c r="S149" s="62">
        <f ca="1">AVERAGE(OFFSET($R$3,0,0,'Données projet'!$E$9+1,1))-AVERAGE(OFFSET($H$3,0,0,'Données projet'!$E$9+1,1))</f>
        <v>358.51982625142648</v>
      </c>
      <c r="T149" s="62">
        <f t="shared" si="142"/>
        <v>432.55677461330856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6.8432058817734606E-2</v>
      </c>
      <c r="AB149" s="23">
        <f>EXP(-LN(2)/2)*AB148+(1-EXP(-LN(2)/2))/(LN(2)/2)*V149*Y149*VLOOKUP('Données projet'!$B$9,Paramètres!$A$1:$I$89,3,0)*0.475*44/12</f>
        <v>8.8438585159056443E-17</v>
      </c>
      <c r="AC149" s="24">
        <f t="shared" si="111"/>
        <v>6.8432058817734689E-2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264.16738206207805</v>
      </c>
      <c r="AO149" s="62">
        <f t="shared" si="144"/>
        <v>233.21990345647771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8.4496749530158683E-17</v>
      </c>
      <c r="AX149" s="23">
        <f t="shared" si="114"/>
        <v>8.4496749530158683E-17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2.8421709430404007E-14</v>
      </c>
      <c r="BE149" s="14">
        <f>BD149*VLOOKUP('Données projet'!$B$11,Paramètres!$A$1:$I$89,3,0)*VLOOKUP('Données projet'!$B$11,Paramètres!$A$1:$I$89,5,0)</f>
        <v>2.4829205358400945E-14</v>
      </c>
      <c r="BF149" s="14">
        <f t="shared" si="145"/>
        <v>4.3867331143352915E-13</v>
      </c>
      <c r="BG149" s="22">
        <f t="shared" si="115"/>
        <v>8.0726688341261168E-13</v>
      </c>
      <c r="BH149" s="62">
        <f t="shared" si="116"/>
        <v>326.70000000000078</v>
      </c>
      <c r="BI149" s="62">
        <f ca="1">AVERAGE(OFFSET($BH$3,0,0,'Données projet'!$E$11+1,1))-AVERAGE(OFFSET($H$3,0,0,'Données projet'!$E$11+1,1))</f>
        <v>316.00112010575197</v>
      </c>
      <c r="BJ149" s="62">
        <f t="shared" si="146"/>
        <v>345.16550310248078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1.2898371718886576E-16</v>
      </c>
      <c r="BS149" s="24">
        <f t="shared" si="117"/>
        <v>1.2898371718886576E-16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79.099999999999994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16.992612000000001</v>
      </c>
      <c r="D150" s="12">
        <f t="shared" si="140"/>
        <v>5.6313163523017726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22.703310557046695</v>
      </c>
      <c r="H150" s="70">
        <f t="shared" si="110"/>
        <v>329.43667521359225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326.70000000000186</v>
      </c>
      <c r="S150" s="62">
        <f ca="1">AVERAGE(OFFSET($R$3,0,0,'Données projet'!$E$9+1,1))-AVERAGE(OFFSET($H$3,0,0,'Données projet'!$E$9+1,1))</f>
        <v>358.51982625142648</v>
      </c>
      <c r="T150" s="62">
        <f t="shared" si="142"/>
        <v>432.55677461330856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6.6560780570678088E-2</v>
      </c>
      <c r="AB150" s="23">
        <f>EXP(-LN(2)/2)*AB149+(1-EXP(-LN(2)/2))/(LN(2)/2)*V150*Y150*VLOOKUP('Données projet'!$B$9,Paramètres!$A$1:$I$89,3,0)*0.475*44/12</f>
        <v>6.2535523284512772E-17</v>
      </c>
      <c r="AC150" s="24">
        <f t="shared" si="111"/>
        <v>6.6560780570678157E-2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264.16738206207805</v>
      </c>
      <c r="AO150" s="62">
        <f t="shared" si="144"/>
        <v>233.21990345647771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5.9748224580996428E-17</v>
      </c>
      <c r="AX150" s="23">
        <f t="shared" si="114"/>
        <v>5.9748224580996428E-17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2.8421709430404007E-14</v>
      </c>
      <c r="BE150" s="14">
        <f>BD150*VLOOKUP('Données projet'!$B$11,Paramètres!$A$1:$I$89,3,0)*VLOOKUP('Données projet'!$B$11,Paramètres!$A$1:$I$89,5,0)</f>
        <v>2.4829205358400945E-14</v>
      </c>
      <c r="BF150" s="14">
        <f t="shared" si="145"/>
        <v>4.3867331143352915E-13</v>
      </c>
      <c r="BG150" s="22">
        <f t="shared" si="115"/>
        <v>8.0726688341261168E-13</v>
      </c>
      <c r="BH150" s="62">
        <f t="shared" si="116"/>
        <v>326.70000000000078</v>
      </c>
      <c r="BI150" s="62">
        <f ca="1">AVERAGE(OFFSET($BH$3,0,0,'Données projet'!$E$11+1,1))-AVERAGE(OFFSET($H$3,0,0,'Données projet'!$E$11+1,1))</f>
        <v>316.00112010575197</v>
      </c>
      <c r="BJ150" s="62">
        <f t="shared" si="146"/>
        <v>345.16550310248078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9.1205261086894833E-17</v>
      </c>
      <c r="BS150" s="24">
        <f t="shared" si="117"/>
        <v>9.1205261086894833E-17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79.099999999999994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17.108208000000001</v>
      </c>
      <c r="D151" s="12">
        <f t="shared" si="140"/>
        <v>5.6651521759428185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22.853266702875956</v>
      </c>
      <c r="H151" s="70">
        <f t="shared" si="110"/>
        <v>329.69693563976705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326.70000000000186</v>
      </c>
      <c r="S151" s="62">
        <f ca="1">AVERAGE(OFFSET($R$3,0,0,'Données projet'!$E$9+1,1))-AVERAGE(OFFSET($H$3,0,0,'Données projet'!$E$9+1,1))</f>
        <v>358.51982625142648</v>
      </c>
      <c r="T151" s="62">
        <f t="shared" si="142"/>
        <v>432.55677461330856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6.4740672525693571E-2</v>
      </c>
      <c r="AB151" s="23">
        <f>EXP(-LN(2)/2)*AB150+(1-EXP(-LN(2)/2))/(LN(2)/2)*V151*Y151*VLOOKUP('Données projet'!$B$9,Paramètres!$A$1:$I$89,3,0)*0.475*44/12</f>
        <v>4.4219292579528222E-17</v>
      </c>
      <c r="AC151" s="24">
        <f t="shared" si="111"/>
        <v>6.4740672525693613E-2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264.16738206207805</v>
      </c>
      <c r="AO151" s="62">
        <f t="shared" si="144"/>
        <v>233.21990345647771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4.2248374765079342E-17</v>
      </c>
      <c r="AX151" s="23">
        <f t="shared" si="114"/>
        <v>4.2248374765079342E-17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2.8421709430404007E-14</v>
      </c>
      <c r="BE151" s="14">
        <f>BD151*VLOOKUP('Données projet'!$B$11,Paramètres!$A$1:$I$89,3,0)*VLOOKUP('Données projet'!$B$11,Paramètres!$A$1:$I$89,5,0)</f>
        <v>2.4829205358400945E-14</v>
      </c>
      <c r="BF151" s="14">
        <f t="shared" si="145"/>
        <v>4.3867331143352915E-13</v>
      </c>
      <c r="BG151" s="22">
        <f t="shared" si="115"/>
        <v>8.0726688341261168E-13</v>
      </c>
      <c r="BH151" s="62">
        <f t="shared" si="116"/>
        <v>326.70000000000078</v>
      </c>
      <c r="BI151" s="62">
        <f ca="1">AVERAGE(OFFSET($BH$3,0,0,'Données projet'!$E$11+1,1))-AVERAGE(OFFSET($H$3,0,0,'Données projet'!$E$11+1,1))</f>
        <v>316.00112010575197</v>
      </c>
      <c r="BJ151" s="62">
        <f t="shared" si="146"/>
        <v>345.16550310248078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6.4491858594432882E-17</v>
      </c>
      <c r="BS151" s="24">
        <f t="shared" si="117"/>
        <v>6.4491858594432882E-17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79.099999999999994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17.223804000000001</v>
      </c>
      <c r="D152" s="12">
        <f t="shared" si="140"/>
        <v>5.6989613984137231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23.003196154197635</v>
      </c>
      <c r="H152" s="70">
        <f t="shared" si="110"/>
        <v>329.95714973557051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326.70000000000186</v>
      </c>
      <c r="S152" s="62">
        <f ca="1">AVERAGE(OFFSET($R$3,0,0,'Données projet'!$E$9+1,1))-AVERAGE(OFFSET($H$3,0,0,'Données projet'!$E$9+1,1))</f>
        <v>358.51982625142648</v>
      </c>
      <c r="T152" s="62">
        <f t="shared" si="142"/>
        <v>432.55677461330856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6.2970335430914473E-2</v>
      </c>
      <c r="AB152" s="23">
        <f>EXP(-LN(2)/2)*AB151+(1-EXP(-LN(2)/2))/(LN(2)/2)*V152*Y152*VLOOKUP('Données projet'!$B$9,Paramètres!$A$1:$I$89,3,0)*0.475*44/12</f>
        <v>3.1267761642256386E-17</v>
      </c>
      <c r="AC152" s="24">
        <f t="shared" si="111"/>
        <v>6.2970335430914501E-2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264.16738206207805</v>
      </c>
      <c r="AO152" s="62">
        <f t="shared" si="144"/>
        <v>233.21990345647771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2.9874112290498214E-17</v>
      </c>
      <c r="AX152" s="23">
        <f t="shared" si="114"/>
        <v>2.9874112290498214E-17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2.8421709430404007E-14</v>
      </c>
      <c r="BE152" s="14">
        <f>BD152*VLOOKUP('Données projet'!$B$11,Paramètres!$A$1:$I$89,3,0)*VLOOKUP('Données projet'!$B$11,Paramètres!$A$1:$I$89,5,0)</f>
        <v>2.4829205358400945E-14</v>
      </c>
      <c r="BF152" s="14">
        <f t="shared" si="145"/>
        <v>4.3867331143352915E-13</v>
      </c>
      <c r="BG152" s="22">
        <f t="shared" si="115"/>
        <v>8.0726688341261168E-13</v>
      </c>
      <c r="BH152" s="62">
        <f t="shared" si="116"/>
        <v>326.70000000000078</v>
      </c>
      <c r="BI152" s="62">
        <f ca="1">AVERAGE(OFFSET($BH$3,0,0,'Données projet'!$E$11+1,1))-AVERAGE(OFFSET($H$3,0,0,'Données projet'!$E$11+1,1))</f>
        <v>316.00112010575197</v>
      </c>
      <c r="BJ152" s="62">
        <f t="shared" si="146"/>
        <v>345.16550310248078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4.5602630543447417E-17</v>
      </c>
      <c r="BS152" s="24">
        <f t="shared" si="117"/>
        <v>4.5602630543447417E-17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79.099999999999994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17.339400000000001</v>
      </c>
      <c r="D153" s="12">
        <f t="shared" si="140"/>
        <v>5.7327442189520434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23.153099110948371</v>
      </c>
      <c r="H153" s="70">
        <f t="shared" si="110"/>
        <v>330.21731784800812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326.70000000000186</v>
      </c>
      <c r="S153" s="62">
        <f ca="1">AVERAGE(OFFSET($R$3,0,0,'Données projet'!$E$9+1,1))-AVERAGE(OFFSET($H$3,0,0,'Données projet'!$E$9+1,1))</f>
        <v>358.51982625142648</v>
      </c>
      <c r="T153" s="62">
        <f t="shared" si="142"/>
        <v>432.55677461330856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6.12484082970901E-2</v>
      </c>
      <c r="AB153" s="23">
        <f>EXP(-LN(2)/2)*AB152+(1-EXP(-LN(2)/2))/(LN(2)/2)*V153*Y153*VLOOKUP('Données projet'!$B$9,Paramètres!$A$1:$I$89,3,0)*0.475*44/12</f>
        <v>2.2109646289764111E-17</v>
      </c>
      <c r="AC153" s="24">
        <f t="shared" si="111"/>
        <v>6.1248408297090121E-2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264.16738206207805</v>
      </c>
      <c r="AO153" s="62">
        <f t="shared" si="144"/>
        <v>233.21990345647771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2.1124187382539671E-17</v>
      </c>
      <c r="AX153" s="23">
        <f t="shared" si="114"/>
        <v>2.1124187382539671E-17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2.8421709430404007E-14</v>
      </c>
      <c r="BE153" s="14">
        <f>BD153*VLOOKUP('Données projet'!$B$11,Paramètres!$A$1:$I$89,3,0)*VLOOKUP('Données projet'!$B$11,Paramètres!$A$1:$I$89,5,0)</f>
        <v>2.4829205358400945E-14</v>
      </c>
      <c r="BF153" s="14">
        <f t="shared" si="145"/>
        <v>4.3867331143352915E-13</v>
      </c>
      <c r="BG153" s="22">
        <f t="shared" si="115"/>
        <v>8.0726688341261168E-13</v>
      </c>
      <c r="BH153" s="62">
        <f t="shared" si="116"/>
        <v>326.70000000000078</v>
      </c>
      <c r="BI153" s="62">
        <f ca="1">AVERAGE(OFFSET($BH$3,0,0,'Données projet'!$E$11+1,1))-AVERAGE(OFFSET($H$3,0,0,'Données projet'!$E$11+1,1))</f>
        <v>316.00112010575197</v>
      </c>
      <c r="BJ153" s="62">
        <f t="shared" si="146"/>
        <v>345.16550310248078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3.2245929297216441E-17</v>
      </c>
      <c r="BS153" s="24">
        <f t="shared" si="117"/>
        <v>3.2245929297216441E-17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79.099999999999994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17.454996000000001</v>
      </c>
      <c r="D154" s="12">
        <f t="shared" si="140"/>
        <v>5.7665008339852664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23.302975770244867</v>
      </c>
      <c r="H154" s="70">
        <f t="shared" si="110"/>
        <v>330.47744031919098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326.70000000000186</v>
      </c>
      <c r="S154" s="62">
        <f ca="1">AVERAGE(OFFSET($R$3,0,0,'Données projet'!$E$9+1,1))-AVERAGE(OFFSET($H$3,0,0,'Données projet'!$E$9+1,1))</f>
        <v>358.51982625142648</v>
      </c>
      <c r="T154" s="62">
        <f t="shared" si="142"/>
        <v>432.55677461330856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5.9573567351292364E-2</v>
      </c>
      <c r="AB154" s="23">
        <f>EXP(-LN(2)/2)*AB153+(1-EXP(-LN(2)/2))/(LN(2)/2)*V154*Y154*VLOOKUP('Données projet'!$B$9,Paramètres!$A$1:$I$89,3,0)*0.475*44/12</f>
        <v>1.5633880821128193E-17</v>
      </c>
      <c r="AC154" s="24">
        <f t="shared" ref="AC154:AC203" si="163">SUM(Z154:AB154)</f>
        <v>5.9573567351292378E-2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264.16738206207805</v>
      </c>
      <c r="AO154" s="62">
        <f t="shared" si="144"/>
        <v>233.21990345647771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1.4937056145249107E-17</v>
      </c>
      <c r="AX154" s="23">
        <f t="shared" ref="AX154:AX203" si="166">SUM(AU154:AW154)</f>
        <v>1.4937056145249107E-17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2.8421709430404007E-14</v>
      </c>
      <c r="BE154" s="14">
        <f>BD154*VLOOKUP('Données projet'!$B$11,Paramètres!$A$1:$I$89,3,0)*VLOOKUP('Données projet'!$B$11,Paramètres!$A$1:$I$89,5,0)</f>
        <v>2.4829205358400945E-14</v>
      </c>
      <c r="BF154" s="14">
        <f t="shared" ref="BF154:BF203" si="167">EXP(-1.0587+0.8836*LN(BE154)+0.284)</f>
        <v>4.3867331143352915E-13</v>
      </c>
      <c r="BG154" s="22">
        <f t="shared" ref="BG154:BG203" si="168">(BE154+BF154)*0.475*44/12</f>
        <v>8.0726688341261168E-13</v>
      </c>
      <c r="BH154" s="62">
        <f t="shared" si="116"/>
        <v>326.70000000000078</v>
      </c>
      <c r="BI154" s="62">
        <f ca="1">AVERAGE(OFFSET($BH$3,0,0,'Données projet'!$E$11+1,1))-AVERAGE(OFFSET($H$3,0,0,'Données projet'!$E$11+1,1))</f>
        <v>316.00112010575197</v>
      </c>
      <c r="BJ154" s="62">
        <f t="shared" si="146"/>
        <v>345.16550310248078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2.2801315271723708E-17</v>
      </c>
      <c r="BS154" s="24">
        <f t="shared" ref="BS154:BS203" si="169">SUM(BP154:BR154)</f>
        <v>2.2801315271723708E-17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79.099999999999994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17.570592000000001</v>
      </c>
      <c r="D155" s="12">
        <f t="shared" si="140"/>
        <v>5.8002314371887618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23.452826326442061</v>
      </c>
      <c r="H155" s="70">
        <f t="shared" si="110"/>
        <v>330.73751748643707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326.70000000000186</v>
      </c>
      <c r="S155" s="62">
        <f ca="1">AVERAGE(OFFSET($R$3,0,0,'Données projet'!$E$9+1,1))-AVERAGE(OFFSET($H$3,0,0,'Données projet'!$E$9+1,1))</f>
        <v>358.51982625142648</v>
      </c>
      <c r="T155" s="62">
        <f t="shared" si="142"/>
        <v>432.55677461330856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5.7944525019233521E-2</v>
      </c>
      <c r="AB155" s="23">
        <f>EXP(-LN(2)/2)*AB154+(1-EXP(-LN(2)/2))/(LN(2)/2)*V155*Y155*VLOOKUP('Données projet'!$B$9,Paramètres!$A$1:$I$89,3,0)*0.475*44/12</f>
        <v>1.1054823144882055E-17</v>
      </c>
      <c r="AC155" s="24">
        <f t="shared" si="163"/>
        <v>5.7944525019233535E-2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264.16738206207805</v>
      </c>
      <c r="AO155" s="62">
        <f t="shared" si="144"/>
        <v>233.21990345647771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1.0562093691269835E-17</v>
      </c>
      <c r="AX155" s="23">
        <f t="shared" si="166"/>
        <v>1.0562093691269835E-17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2.8421709430404007E-14</v>
      </c>
      <c r="BE155" s="14">
        <f>BD155*VLOOKUP('Données projet'!$B$11,Paramètres!$A$1:$I$89,3,0)*VLOOKUP('Données projet'!$B$11,Paramètres!$A$1:$I$89,5,0)</f>
        <v>2.4829205358400945E-14</v>
      </c>
      <c r="BF155" s="14">
        <f t="shared" si="167"/>
        <v>4.3867331143352915E-13</v>
      </c>
      <c r="BG155" s="22">
        <f t="shared" si="168"/>
        <v>8.0726688341261168E-13</v>
      </c>
      <c r="BH155" s="62">
        <f t="shared" si="116"/>
        <v>326.70000000000078</v>
      </c>
      <c r="BI155" s="62">
        <f ca="1">AVERAGE(OFFSET($BH$3,0,0,'Données projet'!$E$11+1,1))-AVERAGE(OFFSET($H$3,0,0,'Données projet'!$E$11+1,1))</f>
        <v>316.00112010575197</v>
      </c>
      <c r="BJ155" s="62">
        <f t="shared" si="146"/>
        <v>345.16550310248078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1.612296464860822E-17</v>
      </c>
      <c r="BS155" s="24">
        <f t="shared" si="169"/>
        <v>1.612296464860822E-17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79.099999999999994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17.686188000000001</v>
      </c>
      <c r="D156" s="12">
        <f t="shared" si="140"/>
        <v>5.8339362195422009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23.602650971189721</v>
      </c>
      <c r="H156" s="70">
        <f t="shared" si="110"/>
        <v>330.99754968236931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326.70000000000186</v>
      </c>
      <c r="S156" s="62">
        <f ca="1">AVERAGE(OFFSET($R$3,0,0,'Données projet'!$E$9+1,1))-AVERAGE(OFFSET($H$3,0,0,'Données projet'!$E$9+1,1))</f>
        <v>358.51982625142648</v>
      </c>
      <c r="T156" s="62">
        <f t="shared" si="142"/>
        <v>432.55677461330856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5.6360028935412441E-2</v>
      </c>
      <c r="AB156" s="23">
        <f>EXP(-LN(2)/2)*AB155+(1-EXP(-LN(2)/2))/(LN(2)/2)*V156*Y156*VLOOKUP('Données projet'!$B$9,Paramètres!$A$1:$I$89,3,0)*0.475*44/12</f>
        <v>7.8169404105640965E-18</v>
      </c>
      <c r="AC156" s="24">
        <f t="shared" si="163"/>
        <v>5.6360028935412448E-2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264.16738206207805</v>
      </c>
      <c r="AO156" s="62">
        <f t="shared" si="144"/>
        <v>233.21990345647771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7.4685280726245535E-18</v>
      </c>
      <c r="AX156" s="23">
        <f t="shared" si="166"/>
        <v>7.4685280726245535E-18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2.8421709430404007E-14</v>
      </c>
      <c r="BE156" s="14">
        <f>BD156*VLOOKUP('Données projet'!$B$11,Paramètres!$A$1:$I$89,3,0)*VLOOKUP('Données projet'!$B$11,Paramètres!$A$1:$I$89,5,0)</f>
        <v>2.4829205358400945E-14</v>
      </c>
      <c r="BF156" s="14">
        <f t="shared" si="167"/>
        <v>4.3867331143352915E-13</v>
      </c>
      <c r="BG156" s="22">
        <f t="shared" si="168"/>
        <v>8.0726688341261168E-13</v>
      </c>
      <c r="BH156" s="62">
        <f t="shared" si="116"/>
        <v>326.70000000000078</v>
      </c>
      <c r="BI156" s="62">
        <f ca="1">AVERAGE(OFFSET($BH$3,0,0,'Données projet'!$E$11+1,1))-AVERAGE(OFFSET($H$3,0,0,'Données projet'!$E$11+1,1))</f>
        <v>316.00112010575197</v>
      </c>
      <c r="BJ156" s="62">
        <f t="shared" si="146"/>
        <v>345.16550310248078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1.1400657635861854E-17</v>
      </c>
      <c r="BS156" s="24">
        <f t="shared" si="169"/>
        <v>1.1400657635861854E-17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79.099999999999994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17.801784000000001</v>
      </c>
      <c r="D157" s="12">
        <f t="shared" si="140"/>
        <v>5.8676153693844535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23.752449893487555</v>
      </c>
      <c r="H157" s="70">
        <f t="shared" si="110"/>
        <v>331.25753723501123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326.70000000000186</v>
      </c>
      <c r="S157" s="62">
        <f ca="1">AVERAGE(OFFSET($R$3,0,0,'Données projet'!$E$9+1,1))-AVERAGE(OFFSET($H$3,0,0,'Données projet'!$E$9+1,1))</f>
        <v>358.51982625142648</v>
      </c>
      <c r="T157" s="62">
        <f t="shared" si="142"/>
        <v>432.55677461330856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5.4818860980328482E-2</v>
      </c>
      <c r="AB157" s="23">
        <f>EXP(-LN(2)/2)*AB156+(1-EXP(-LN(2)/2))/(LN(2)/2)*V157*Y157*VLOOKUP('Données projet'!$B$9,Paramètres!$A$1:$I$89,3,0)*0.475*44/12</f>
        <v>5.5274115724410277E-18</v>
      </c>
      <c r="AC157" s="24">
        <f t="shared" si="163"/>
        <v>5.4818860980328489E-2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264.16738206207805</v>
      </c>
      <c r="AO157" s="62">
        <f t="shared" si="144"/>
        <v>233.21990345647771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5.2810468456349177E-18</v>
      </c>
      <c r="AX157" s="23">
        <f t="shared" si="166"/>
        <v>5.2810468456349177E-18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2.8421709430404007E-14</v>
      </c>
      <c r="BE157" s="14">
        <f>BD157*VLOOKUP('Données projet'!$B$11,Paramètres!$A$1:$I$89,3,0)*VLOOKUP('Données projet'!$B$11,Paramètres!$A$1:$I$89,5,0)</f>
        <v>2.4829205358400945E-14</v>
      </c>
      <c r="BF157" s="14">
        <f t="shared" si="167"/>
        <v>4.3867331143352915E-13</v>
      </c>
      <c r="BG157" s="22">
        <f t="shared" si="168"/>
        <v>8.0726688341261168E-13</v>
      </c>
      <c r="BH157" s="62">
        <f t="shared" si="116"/>
        <v>326.70000000000078</v>
      </c>
      <c r="BI157" s="62">
        <f ca="1">AVERAGE(OFFSET($BH$3,0,0,'Données projet'!$E$11+1,1))-AVERAGE(OFFSET($H$3,0,0,'Données projet'!$E$11+1,1))</f>
        <v>316.00112010575197</v>
      </c>
      <c r="BJ157" s="62">
        <f t="shared" si="146"/>
        <v>345.16550310248078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8.0614823243041102E-18</v>
      </c>
      <c r="BS157" s="24">
        <f t="shared" si="169"/>
        <v>8.0614823243041102E-18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79.099999999999994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17.917380000000001</v>
      </c>
      <c r="D158" s="12">
        <f t="shared" si="140"/>
        <v>5.9012690724669845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23.902223279738802</v>
      </c>
      <c r="H158" s="70">
        <f t="shared" si="110"/>
        <v>331.51748046787998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326.70000000000186</v>
      </c>
      <c r="S158" s="62">
        <f ca="1">AVERAGE(OFFSET($R$3,0,0,'Données projet'!$E$9+1,1))-AVERAGE(OFFSET($H$3,0,0,'Données projet'!$E$9+1,1))</f>
        <v>358.51982625142648</v>
      </c>
      <c r="T158" s="62">
        <f t="shared" si="142"/>
        <v>432.55677461330856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5.3319836344022792E-2</v>
      </c>
      <c r="AB158" s="23">
        <f>EXP(-LN(2)/2)*AB157+(1-EXP(-LN(2)/2))/(LN(2)/2)*V158*Y158*VLOOKUP('Données projet'!$B$9,Paramètres!$A$1:$I$89,3,0)*0.475*44/12</f>
        <v>3.9084702052820483E-18</v>
      </c>
      <c r="AC158" s="24">
        <f t="shared" si="163"/>
        <v>5.3319836344022799E-2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264.16738206207805</v>
      </c>
      <c r="AO158" s="62">
        <f t="shared" si="144"/>
        <v>233.21990345647771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3.7342640363122767E-18</v>
      </c>
      <c r="AX158" s="23">
        <f t="shared" si="166"/>
        <v>3.7342640363122767E-18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2.8421709430404007E-14</v>
      </c>
      <c r="BE158" s="14">
        <f>BD158*VLOOKUP('Données projet'!$B$11,Paramètres!$A$1:$I$89,3,0)*VLOOKUP('Données projet'!$B$11,Paramètres!$A$1:$I$89,5,0)</f>
        <v>2.4829205358400945E-14</v>
      </c>
      <c r="BF158" s="14">
        <f t="shared" si="167"/>
        <v>4.3867331143352915E-13</v>
      </c>
      <c r="BG158" s="22">
        <f t="shared" si="168"/>
        <v>8.0726688341261168E-13</v>
      </c>
      <c r="BH158" s="62">
        <f t="shared" si="116"/>
        <v>326.70000000000078</v>
      </c>
      <c r="BI158" s="62">
        <f ca="1">AVERAGE(OFFSET($BH$3,0,0,'Données projet'!$E$11+1,1))-AVERAGE(OFFSET($H$3,0,0,'Données projet'!$E$11+1,1))</f>
        <v>316.00112010575197</v>
      </c>
      <c r="BJ158" s="62">
        <f t="shared" si="146"/>
        <v>345.16550310248078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5.7003288179309271E-18</v>
      </c>
      <c r="BS158" s="24">
        <f t="shared" si="169"/>
        <v>5.7003288179309271E-18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79.099999999999994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18.032976000000001</v>
      </c>
      <c r="D159" s="12">
        <f t="shared" si="140"/>
        <v>5.9348975120058878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24.051971313802401</v>
      </c>
      <c r="H159" s="70">
        <f t="shared" si="110"/>
        <v>331.77737970007689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326.70000000000186</v>
      </c>
      <c r="S159" s="62">
        <f ca="1">AVERAGE(OFFSET($R$3,0,0,'Données projet'!$E$9+1,1))-AVERAGE(OFFSET($H$3,0,0,'Données projet'!$E$9+1,1))</f>
        <v>358.51982625142648</v>
      </c>
      <c r="T159" s="62">
        <f t="shared" si="142"/>
        <v>432.55677461330856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5.1861802615227159E-2</v>
      </c>
      <c r="AB159" s="23">
        <f>EXP(-LN(2)/2)*AB158+(1-EXP(-LN(2)/2))/(LN(2)/2)*V159*Y159*VLOOKUP('Données projet'!$B$9,Paramètres!$A$1:$I$89,3,0)*0.475*44/12</f>
        <v>2.7637057862205139E-18</v>
      </c>
      <c r="AC159" s="24">
        <f t="shared" si="163"/>
        <v>5.1861802615227159E-2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264.16738206207805</v>
      </c>
      <c r="AO159" s="62">
        <f t="shared" si="144"/>
        <v>233.21990345647771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2.6405234228174589E-18</v>
      </c>
      <c r="AX159" s="23">
        <f t="shared" si="166"/>
        <v>2.6405234228174589E-18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2.8421709430404007E-14</v>
      </c>
      <c r="BE159" s="14">
        <f>BD159*VLOOKUP('Données projet'!$B$11,Paramètres!$A$1:$I$89,3,0)*VLOOKUP('Données projet'!$B$11,Paramètres!$A$1:$I$89,5,0)</f>
        <v>2.4829205358400945E-14</v>
      </c>
      <c r="BF159" s="14">
        <f t="shared" si="167"/>
        <v>4.3867331143352915E-13</v>
      </c>
      <c r="BG159" s="22">
        <f t="shared" si="168"/>
        <v>8.0726688341261168E-13</v>
      </c>
      <c r="BH159" s="62">
        <f t="shared" si="116"/>
        <v>326.70000000000078</v>
      </c>
      <c r="BI159" s="62">
        <f ca="1">AVERAGE(OFFSET($BH$3,0,0,'Données projet'!$E$11+1,1))-AVERAGE(OFFSET($H$3,0,0,'Données projet'!$E$11+1,1))</f>
        <v>316.00112010575197</v>
      </c>
      <c r="BJ159" s="62">
        <f t="shared" si="146"/>
        <v>345.16550310248078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4.0307411621520551E-18</v>
      </c>
      <c r="BS159" s="24">
        <f t="shared" si="169"/>
        <v>4.0307411621520551E-18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79.099999999999994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18.148572000000001</v>
      </c>
      <c r="D160" s="12">
        <f t="shared" si="140"/>
        <v>5.9685008687324892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24.201694177043834</v>
      </c>
      <c r="H160" s="70">
        <f t="shared" si="110"/>
        <v>332.0372352463757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326.70000000000186</v>
      </c>
      <c r="S160" s="62">
        <f ca="1">AVERAGE(OFFSET($R$3,0,0,'Données projet'!$E$9+1,1))-AVERAGE(OFFSET($H$3,0,0,'Données projet'!$E$9+1,1))</f>
        <v>358.51982625142648</v>
      </c>
      <c r="T160" s="62">
        <f t="shared" si="142"/>
        <v>432.55677461330856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5.0443638895420105E-2</v>
      </c>
      <c r="AB160" s="23">
        <f>EXP(-LN(2)/2)*AB159+(1-EXP(-LN(2)/2))/(LN(2)/2)*V160*Y160*VLOOKUP('Données projet'!$B$9,Paramètres!$A$1:$I$89,3,0)*0.475*44/12</f>
        <v>1.9542351026410241E-18</v>
      </c>
      <c r="AC160" s="24">
        <f t="shared" si="163"/>
        <v>5.0443638895420105E-2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264.16738206207805</v>
      </c>
      <c r="AO160" s="62">
        <f t="shared" si="144"/>
        <v>233.21990345647771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1.8671320181561384E-18</v>
      </c>
      <c r="AX160" s="23">
        <f t="shared" si="166"/>
        <v>1.8671320181561384E-18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2.8421709430404007E-14</v>
      </c>
      <c r="BE160" s="14">
        <f>BD160*VLOOKUP('Données projet'!$B$11,Paramètres!$A$1:$I$89,3,0)*VLOOKUP('Données projet'!$B$11,Paramètres!$A$1:$I$89,5,0)</f>
        <v>2.4829205358400945E-14</v>
      </c>
      <c r="BF160" s="14">
        <f t="shared" si="167"/>
        <v>4.3867331143352915E-13</v>
      </c>
      <c r="BG160" s="22">
        <f t="shared" si="168"/>
        <v>8.0726688341261168E-13</v>
      </c>
      <c r="BH160" s="62">
        <f t="shared" si="116"/>
        <v>326.70000000000078</v>
      </c>
      <c r="BI160" s="62">
        <f ca="1">AVERAGE(OFFSET($BH$3,0,0,'Données projet'!$E$11+1,1))-AVERAGE(OFFSET($H$3,0,0,'Données projet'!$E$11+1,1))</f>
        <v>316.00112010575197</v>
      </c>
      <c r="BJ160" s="62">
        <f t="shared" si="146"/>
        <v>345.16550310248078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2.8501644089654635E-18</v>
      </c>
      <c r="BS160" s="24">
        <f t="shared" si="169"/>
        <v>2.8501644089654635E-18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79.099999999999994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18.264168000000002</v>
      </c>
      <c r="D161" s="12">
        <f t="shared" si="140"/>
        <v>6.0020793209426699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24.351392048384579</v>
      </c>
      <c r="H161" s="70">
        <f t="shared" si="110"/>
        <v>332.29704741730848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326.70000000000186</v>
      </c>
      <c r="S161" s="62">
        <f ca="1">AVERAGE(OFFSET($R$3,0,0,'Données projet'!$E$9+1,1))-AVERAGE(OFFSET($H$3,0,0,'Données projet'!$E$9+1,1))</f>
        <v>358.51982625142648</v>
      </c>
      <c r="T161" s="62">
        <f t="shared" si="142"/>
        <v>432.55677461330856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4.9064254937109163E-2</v>
      </c>
      <c r="AB161" s="23">
        <f>EXP(-LN(2)/2)*AB160+(1-EXP(-LN(2)/2))/(LN(2)/2)*V161*Y161*VLOOKUP('Données projet'!$B$9,Paramètres!$A$1:$I$89,3,0)*0.475*44/12</f>
        <v>1.3818528931102569E-18</v>
      </c>
      <c r="AC161" s="24">
        <f t="shared" si="163"/>
        <v>4.9064254937109163E-2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264.16738206207805</v>
      </c>
      <c r="AO161" s="62">
        <f t="shared" si="144"/>
        <v>233.21990345647771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1.3202617114087294E-18</v>
      </c>
      <c r="AX161" s="23">
        <f t="shared" si="166"/>
        <v>1.3202617114087294E-18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2.8421709430404007E-14</v>
      </c>
      <c r="BE161" s="14">
        <f>BD161*VLOOKUP('Données projet'!$B$11,Paramètres!$A$1:$I$89,3,0)*VLOOKUP('Données projet'!$B$11,Paramètres!$A$1:$I$89,5,0)</f>
        <v>2.4829205358400945E-14</v>
      </c>
      <c r="BF161" s="14">
        <f t="shared" si="167"/>
        <v>4.3867331143352915E-13</v>
      </c>
      <c r="BG161" s="22">
        <f t="shared" si="168"/>
        <v>8.0726688341261168E-13</v>
      </c>
      <c r="BH161" s="62">
        <f t="shared" si="116"/>
        <v>326.70000000000078</v>
      </c>
      <c r="BI161" s="62">
        <f ca="1">AVERAGE(OFFSET($BH$3,0,0,'Données projet'!$E$11+1,1))-AVERAGE(OFFSET($H$3,0,0,'Données projet'!$E$11+1,1))</f>
        <v>316.00112010575197</v>
      </c>
      <c r="BJ161" s="62">
        <f t="shared" si="146"/>
        <v>345.16550310248078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2.0153705810760276E-18</v>
      </c>
      <c r="BS161" s="24">
        <f t="shared" si="169"/>
        <v>2.0153705810760276E-18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79.099999999999994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18.379764000000002</v>
      </c>
      <c r="D162" s="12">
        <f t="shared" si="140"/>
        <v>6.0356330445448831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24.501065104350307</v>
      </c>
      <c r="H162" s="70">
        <f t="shared" si="110"/>
        <v>332.55681651924897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326.70000000000186</v>
      </c>
      <c r="S162" s="62">
        <f ca="1">AVERAGE(OFFSET($R$3,0,0,'Données projet'!$E$9+1,1))-AVERAGE(OFFSET($H$3,0,0,'Données projet'!$E$9+1,1))</f>
        <v>358.51982625142648</v>
      </c>
      <c r="T162" s="62">
        <f t="shared" si="142"/>
        <v>432.55677461330856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4.7722590305676882E-2</v>
      </c>
      <c r="AB162" s="23">
        <f>EXP(-LN(2)/2)*AB161+(1-EXP(-LN(2)/2))/(LN(2)/2)*V162*Y162*VLOOKUP('Données projet'!$B$9,Paramètres!$A$1:$I$89,3,0)*0.475*44/12</f>
        <v>9.7711755132051206E-19</v>
      </c>
      <c r="AC162" s="24">
        <f t="shared" si="163"/>
        <v>4.7722590305676882E-2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264.16738206207805</v>
      </c>
      <c r="AO162" s="62">
        <f t="shared" si="144"/>
        <v>233.21990345647771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9.3356600907806918E-19</v>
      </c>
      <c r="AX162" s="23">
        <f t="shared" si="166"/>
        <v>9.3356600907806918E-19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2.8421709430404007E-14</v>
      </c>
      <c r="BE162" s="14">
        <f>BD162*VLOOKUP('Données projet'!$B$11,Paramètres!$A$1:$I$89,3,0)*VLOOKUP('Données projet'!$B$11,Paramètres!$A$1:$I$89,5,0)</f>
        <v>2.4829205358400945E-14</v>
      </c>
      <c r="BF162" s="14">
        <f t="shared" si="167"/>
        <v>4.3867331143352915E-13</v>
      </c>
      <c r="BG162" s="22">
        <f t="shared" si="168"/>
        <v>8.0726688341261168E-13</v>
      </c>
      <c r="BH162" s="62">
        <f t="shared" si="116"/>
        <v>326.70000000000078</v>
      </c>
      <c r="BI162" s="62">
        <f ca="1">AVERAGE(OFFSET($BH$3,0,0,'Données projet'!$E$11+1,1))-AVERAGE(OFFSET($H$3,0,0,'Données projet'!$E$11+1,1))</f>
        <v>316.00112010575197</v>
      </c>
      <c r="BJ162" s="62">
        <f t="shared" si="146"/>
        <v>345.16550310248078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1.4250822044827318E-18</v>
      </c>
      <c r="BS162" s="24">
        <f t="shared" si="169"/>
        <v>1.4250822044827318E-18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79.099999999999994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18.495360000000002</v>
      </c>
      <c r="D163" s="12">
        <f t="shared" si="140"/>
        <v>6.0691622131069236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24.650713519117829</v>
      </c>
      <c r="H163" s="70">
        <f t="shared" si="110"/>
        <v>332.81654285449451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326.70000000000186</v>
      </c>
      <c r="S163" s="62">
        <f ca="1">AVERAGE(OFFSET($R$3,0,0,'Données projet'!$E$9+1,1))-AVERAGE(OFFSET($H$3,0,0,'Données projet'!$E$9+1,1))</f>
        <v>358.51982625142648</v>
      </c>
      <c r="T163" s="62">
        <f t="shared" si="142"/>
        <v>432.55677461330856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4.6417613564146191E-2</v>
      </c>
      <c r="AB163" s="23">
        <f>EXP(-LN(2)/2)*AB162+(1-EXP(-LN(2)/2))/(LN(2)/2)*V163*Y163*VLOOKUP('Données projet'!$B$9,Paramètres!$A$1:$I$89,3,0)*0.475*44/12</f>
        <v>6.9092644655512846E-19</v>
      </c>
      <c r="AC163" s="24">
        <f t="shared" si="163"/>
        <v>4.6417613564146191E-2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264.16738206207805</v>
      </c>
      <c r="AO163" s="62">
        <f t="shared" si="144"/>
        <v>233.21990345647771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6.6013085570436471E-19</v>
      </c>
      <c r="AX163" s="23">
        <f t="shared" si="166"/>
        <v>6.6013085570436471E-19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2.8421709430404007E-14</v>
      </c>
      <c r="BE163" s="14">
        <f>BD163*VLOOKUP('Données projet'!$B$11,Paramètres!$A$1:$I$89,3,0)*VLOOKUP('Données projet'!$B$11,Paramètres!$A$1:$I$89,5,0)</f>
        <v>2.4829205358400945E-14</v>
      </c>
      <c r="BF163" s="14">
        <f t="shared" si="167"/>
        <v>4.3867331143352915E-13</v>
      </c>
      <c r="BG163" s="22">
        <f t="shared" si="168"/>
        <v>8.0726688341261168E-13</v>
      </c>
      <c r="BH163" s="62">
        <f t="shared" si="116"/>
        <v>326.70000000000078</v>
      </c>
      <c r="BI163" s="62">
        <f ca="1">AVERAGE(OFFSET($BH$3,0,0,'Données projet'!$E$11+1,1))-AVERAGE(OFFSET($H$3,0,0,'Données projet'!$E$11+1,1))</f>
        <v>316.00112010575197</v>
      </c>
      <c r="BJ163" s="62">
        <f t="shared" si="146"/>
        <v>345.16550310248078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1.0076852905380138E-18</v>
      </c>
      <c r="BS163" s="24">
        <f t="shared" si="169"/>
        <v>1.0076852905380138E-18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79.099999999999994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18.610956000000002</v>
      </c>
      <c r="D164" s="12">
        <f t="shared" si="140"/>
        <v>6.1026669979015207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24.80033746456083</v>
      </c>
      <c r="H164" s="70">
        <f t="shared" si="110"/>
        <v>333.07622672134511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326.70000000000186</v>
      </c>
      <c r="S164" s="62">
        <f ca="1">AVERAGE(OFFSET($R$3,0,0,'Données projet'!$E$9+1,1))-AVERAGE(OFFSET($H$3,0,0,'Données projet'!$E$9+1,1))</f>
        <v>358.51982625142648</v>
      </c>
      <c r="T164" s="62">
        <f t="shared" si="142"/>
        <v>432.55677461330856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4.5148321480238403E-2</v>
      </c>
      <c r="AB164" s="23">
        <f>EXP(-LN(2)/2)*AB163+(1-EXP(-LN(2)/2))/(LN(2)/2)*V164*Y164*VLOOKUP('Données projet'!$B$9,Paramètres!$A$1:$I$89,3,0)*0.475*44/12</f>
        <v>4.8855877566025603E-19</v>
      </c>
      <c r="AC164" s="24">
        <f t="shared" si="163"/>
        <v>4.5148321480238403E-2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264.16738206207805</v>
      </c>
      <c r="AO164" s="62">
        <f t="shared" si="144"/>
        <v>233.21990345647771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4.6678300453903459E-19</v>
      </c>
      <c r="AX164" s="23">
        <f t="shared" si="166"/>
        <v>4.6678300453903459E-19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2.8421709430404007E-14</v>
      </c>
      <c r="BE164" s="14">
        <f>BD164*VLOOKUP('Données projet'!$B$11,Paramètres!$A$1:$I$89,3,0)*VLOOKUP('Données projet'!$B$11,Paramètres!$A$1:$I$89,5,0)</f>
        <v>2.4829205358400945E-14</v>
      </c>
      <c r="BF164" s="14">
        <f t="shared" si="167"/>
        <v>4.3867331143352915E-13</v>
      </c>
      <c r="BG164" s="22">
        <f t="shared" si="168"/>
        <v>8.0726688341261168E-13</v>
      </c>
      <c r="BH164" s="62">
        <f t="shared" si="116"/>
        <v>326.70000000000078</v>
      </c>
      <c r="BI164" s="62">
        <f ca="1">AVERAGE(OFFSET($BH$3,0,0,'Données projet'!$E$11+1,1))-AVERAGE(OFFSET($H$3,0,0,'Données projet'!$E$11+1,1))</f>
        <v>316.00112010575197</v>
      </c>
      <c r="BJ164" s="62">
        <f t="shared" si="146"/>
        <v>345.16550310248078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7.1254110224136588E-19</v>
      </c>
      <c r="BS164" s="24">
        <f t="shared" si="169"/>
        <v>7.1254110224136588E-19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79.099999999999994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18.726552000000002</v>
      </c>
      <c r="D165" s="12">
        <f t="shared" si="140"/>
        <v>6.136147567950724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24.949937110294414</v>
      </c>
      <c r="H165" s="70">
        <f t="shared" si="110"/>
        <v>333.33586841418082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326.70000000000186</v>
      </c>
      <c r="S165" s="62">
        <f ca="1">AVERAGE(OFFSET($R$3,0,0,'Données projet'!$E$9+1,1))-AVERAGE(OFFSET($H$3,0,0,'Données projet'!$E$9+1,1))</f>
        <v>358.51982625142648</v>
      </c>
      <c r="T165" s="62">
        <f t="shared" si="142"/>
        <v>432.55677461330856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4.3913738255114243E-2</v>
      </c>
      <c r="AB165" s="23">
        <f>EXP(-LN(2)/2)*AB164+(1-EXP(-LN(2)/2))/(LN(2)/2)*V165*Y165*VLOOKUP('Données projet'!$B$9,Paramètres!$A$1:$I$89,3,0)*0.475*44/12</f>
        <v>3.4546322327756423E-19</v>
      </c>
      <c r="AC165" s="24">
        <f t="shared" si="163"/>
        <v>4.3913738255114243E-2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264.16738206207805</v>
      </c>
      <c r="AO165" s="62">
        <f t="shared" si="144"/>
        <v>233.21990345647771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3.3006542785218236E-19</v>
      </c>
      <c r="AX165" s="23">
        <f t="shared" si="166"/>
        <v>3.3006542785218236E-19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2.8421709430404007E-14</v>
      </c>
      <c r="BE165" s="14">
        <f>BD165*VLOOKUP('Données projet'!$B$11,Paramètres!$A$1:$I$89,3,0)*VLOOKUP('Données projet'!$B$11,Paramètres!$A$1:$I$89,5,0)</f>
        <v>2.4829205358400945E-14</v>
      </c>
      <c r="BF165" s="14">
        <f t="shared" si="167"/>
        <v>4.3867331143352915E-13</v>
      </c>
      <c r="BG165" s="22">
        <f t="shared" si="168"/>
        <v>8.0726688341261168E-13</v>
      </c>
      <c r="BH165" s="62">
        <f t="shared" si="116"/>
        <v>326.70000000000078</v>
      </c>
      <c r="BI165" s="62">
        <f ca="1">AVERAGE(OFFSET($BH$3,0,0,'Données projet'!$E$11+1,1))-AVERAGE(OFFSET($H$3,0,0,'Données projet'!$E$11+1,1))</f>
        <v>316.00112010575197</v>
      </c>
      <c r="BJ165" s="62">
        <f t="shared" si="146"/>
        <v>345.16550310248078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5.0384264526900689E-19</v>
      </c>
      <c r="BS165" s="24">
        <f t="shared" si="169"/>
        <v>5.0384264526900689E-19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79.099999999999994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18.842148000000002</v>
      </c>
      <c r="D166" s="12">
        <f t="shared" si="140"/>
        <v>6.1696040900692015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25.099512623718567</v>
      </c>
      <c r="H166" s="70">
        <f t="shared" si="110"/>
        <v>333.59546822353718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326.70000000000186</v>
      </c>
      <c r="S166" s="62">
        <f ca="1">AVERAGE(OFFSET($R$3,0,0,'Données projet'!$E$9+1,1))-AVERAGE(OFFSET($H$3,0,0,'Données projet'!$E$9+1,1))</f>
        <v>358.51982625142648</v>
      </c>
      <c r="T166" s="62">
        <f t="shared" si="142"/>
        <v>432.55677461330856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4.2712914773205019E-2</v>
      </c>
      <c r="AB166" s="23">
        <f>EXP(-LN(2)/2)*AB165+(1-EXP(-LN(2)/2))/(LN(2)/2)*V166*Y166*VLOOKUP('Données projet'!$B$9,Paramètres!$A$1:$I$89,3,0)*0.475*44/12</f>
        <v>2.4427938783012802E-19</v>
      </c>
      <c r="AC166" s="24">
        <f t="shared" si="163"/>
        <v>4.2712914773205019E-2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264.16738206207805</v>
      </c>
      <c r="AO166" s="62">
        <f t="shared" si="144"/>
        <v>233.21990345647771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2.333915022695173E-19</v>
      </c>
      <c r="AX166" s="23">
        <f t="shared" si="166"/>
        <v>2.333915022695173E-19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2.8421709430404007E-14</v>
      </c>
      <c r="BE166" s="14">
        <f>BD166*VLOOKUP('Données projet'!$B$11,Paramètres!$A$1:$I$89,3,0)*VLOOKUP('Données projet'!$B$11,Paramètres!$A$1:$I$89,5,0)</f>
        <v>2.4829205358400945E-14</v>
      </c>
      <c r="BF166" s="14">
        <f t="shared" si="167"/>
        <v>4.3867331143352915E-13</v>
      </c>
      <c r="BG166" s="22">
        <f t="shared" si="168"/>
        <v>8.0726688341261168E-13</v>
      </c>
      <c r="BH166" s="62">
        <f t="shared" si="116"/>
        <v>326.70000000000078</v>
      </c>
      <c r="BI166" s="62">
        <f ca="1">AVERAGE(OFFSET($BH$3,0,0,'Données projet'!$E$11+1,1))-AVERAGE(OFFSET($H$3,0,0,'Données projet'!$E$11+1,1))</f>
        <v>316.00112010575197</v>
      </c>
      <c r="BJ166" s="62">
        <f t="shared" si="146"/>
        <v>345.16550310248078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3.5627055112068294E-19</v>
      </c>
      <c r="BS166" s="24">
        <f t="shared" si="169"/>
        <v>3.5627055112068294E-19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79.099999999999994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18.957744000000002</v>
      </c>
      <c r="D167" s="12">
        <f t="shared" si="140"/>
        <v>6.2030367289064277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25.249064170060493</v>
      </c>
      <c r="H167" s="70">
        <f t="shared" si="110"/>
        <v>333.85502643617866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326.70000000000186</v>
      </c>
      <c r="S167" s="62">
        <f ca="1">AVERAGE(OFFSET($R$3,0,0,'Données projet'!$E$9+1,1))-AVERAGE(OFFSET($H$3,0,0,'Données projet'!$E$9+1,1))</f>
        <v>358.51982625142648</v>
      </c>
      <c r="T167" s="62">
        <f t="shared" si="142"/>
        <v>432.55677461330856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4.1544927872557161E-2</v>
      </c>
      <c r="AB167" s="23">
        <f>EXP(-LN(2)/2)*AB166+(1-EXP(-LN(2)/2))/(LN(2)/2)*V167*Y167*VLOOKUP('Données projet'!$B$9,Paramètres!$A$1:$I$89,3,0)*0.475*44/12</f>
        <v>1.7273161163878212E-19</v>
      </c>
      <c r="AC167" s="24">
        <f t="shared" si="163"/>
        <v>4.1544927872557161E-2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264.16738206207805</v>
      </c>
      <c r="AO167" s="62">
        <f t="shared" si="144"/>
        <v>233.21990345647771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1.6503271392609118E-19</v>
      </c>
      <c r="AX167" s="23">
        <f t="shared" si="166"/>
        <v>1.6503271392609118E-19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2.8421709430404007E-14</v>
      </c>
      <c r="BE167" s="14">
        <f>BD167*VLOOKUP('Données projet'!$B$11,Paramètres!$A$1:$I$89,3,0)*VLOOKUP('Données projet'!$B$11,Paramètres!$A$1:$I$89,5,0)</f>
        <v>2.4829205358400945E-14</v>
      </c>
      <c r="BF167" s="14">
        <f t="shared" si="167"/>
        <v>4.3867331143352915E-13</v>
      </c>
      <c r="BG167" s="22">
        <f t="shared" si="168"/>
        <v>8.0726688341261168E-13</v>
      </c>
      <c r="BH167" s="62">
        <f t="shared" si="116"/>
        <v>326.70000000000078</v>
      </c>
      <c r="BI167" s="62">
        <f ca="1">AVERAGE(OFFSET($BH$3,0,0,'Données projet'!$E$11+1,1))-AVERAGE(OFFSET($H$3,0,0,'Données projet'!$E$11+1,1))</f>
        <v>316.00112010575197</v>
      </c>
      <c r="BJ167" s="62">
        <f t="shared" si="146"/>
        <v>345.16550310248078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2.5192132263450344E-19</v>
      </c>
      <c r="BS167" s="24">
        <f t="shared" si="169"/>
        <v>2.5192132263450344E-19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79.099999999999994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19.073340000000002</v>
      </c>
      <c r="D168" s="12">
        <f t="shared" si="140"/>
        <v>6.2364456469878045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25.398591912415835</v>
      </c>
      <c r="H168" s="70">
        <f t="shared" si="110"/>
        <v>334.11454333517042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326.70000000000186</v>
      </c>
      <c r="S168" s="62">
        <f ca="1">AVERAGE(OFFSET($R$3,0,0,'Données projet'!$E$9+1,1))-AVERAGE(OFFSET($H$3,0,0,'Données projet'!$E$9+1,1))</f>
        <v>358.51982625142648</v>
      </c>
      <c r="T168" s="62">
        <f t="shared" si="142"/>
        <v>432.55677461330856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4.0408879635129277E-2</v>
      </c>
      <c r="AB168" s="23">
        <f>EXP(-LN(2)/2)*AB167+(1-EXP(-LN(2)/2))/(LN(2)/2)*V168*Y168*VLOOKUP('Données projet'!$B$9,Paramètres!$A$1:$I$89,3,0)*0.475*44/12</f>
        <v>1.2213969391506401E-19</v>
      </c>
      <c r="AC168" s="24">
        <f t="shared" si="163"/>
        <v>4.0408879635129277E-2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264.16738206207805</v>
      </c>
      <c r="AO168" s="62">
        <f t="shared" si="144"/>
        <v>233.21990345647771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1.1669575113475865E-19</v>
      </c>
      <c r="AX168" s="23">
        <f t="shared" si="166"/>
        <v>1.1669575113475865E-19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2.8421709430404007E-14</v>
      </c>
      <c r="BE168" s="14">
        <f>BD168*VLOOKUP('Données projet'!$B$11,Paramètres!$A$1:$I$89,3,0)*VLOOKUP('Données projet'!$B$11,Paramètres!$A$1:$I$89,5,0)</f>
        <v>2.4829205358400945E-14</v>
      </c>
      <c r="BF168" s="14">
        <f t="shared" si="167"/>
        <v>4.3867331143352915E-13</v>
      </c>
      <c r="BG168" s="22">
        <f t="shared" si="168"/>
        <v>8.0726688341261168E-13</v>
      </c>
      <c r="BH168" s="62">
        <f t="shared" si="116"/>
        <v>326.70000000000078</v>
      </c>
      <c r="BI168" s="62">
        <f ca="1">AVERAGE(OFFSET($BH$3,0,0,'Données projet'!$E$11+1,1))-AVERAGE(OFFSET($H$3,0,0,'Données projet'!$E$11+1,1))</f>
        <v>316.00112010575197</v>
      </c>
      <c r="BJ168" s="62">
        <f t="shared" si="146"/>
        <v>345.16550310248078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1.7813527556034147E-19</v>
      </c>
      <c r="BS168" s="24">
        <f t="shared" si="169"/>
        <v>1.7813527556034147E-19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79.099999999999994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19.188936000000002</v>
      </c>
      <c r="D169" s="12">
        <f t="shared" si="140"/>
        <v>6.2698310047547814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25.548096011789013</v>
      </c>
      <c r="H169" s="70">
        <f t="shared" si="110"/>
        <v>334.3740191999479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326.70000000000186</v>
      </c>
      <c r="S169" s="62">
        <f ca="1">AVERAGE(OFFSET($R$3,0,0,'Données projet'!$E$9+1,1))-AVERAGE(OFFSET($H$3,0,0,'Données projet'!$E$9+1,1))</f>
        <v>358.51982625142648</v>
      </c>
      <c r="T169" s="62">
        <f t="shared" si="142"/>
        <v>432.55677461330856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3.9303896696496046E-2</v>
      </c>
      <c r="AB169" s="23">
        <f>EXP(-LN(2)/2)*AB168+(1-EXP(-LN(2)/2))/(LN(2)/2)*V169*Y169*VLOOKUP('Données projet'!$B$9,Paramètres!$A$1:$I$89,3,0)*0.475*44/12</f>
        <v>8.6365805819391058E-20</v>
      </c>
      <c r="AC169" s="24">
        <f t="shared" si="163"/>
        <v>3.9303896696496046E-2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264.16738206207805</v>
      </c>
      <c r="AO169" s="62">
        <f t="shared" si="144"/>
        <v>233.21990345647771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8.2516356963045589E-20</v>
      </c>
      <c r="AX169" s="23">
        <f t="shared" si="166"/>
        <v>8.2516356963045589E-20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2.8421709430404007E-14</v>
      </c>
      <c r="BE169" s="14">
        <f>BD169*VLOOKUP('Données projet'!$B$11,Paramètres!$A$1:$I$89,3,0)*VLOOKUP('Données projet'!$B$11,Paramètres!$A$1:$I$89,5,0)</f>
        <v>2.4829205358400945E-14</v>
      </c>
      <c r="BF169" s="14">
        <f t="shared" si="167"/>
        <v>4.3867331143352915E-13</v>
      </c>
      <c r="BG169" s="22">
        <f t="shared" si="168"/>
        <v>8.0726688341261168E-13</v>
      </c>
      <c r="BH169" s="62">
        <f t="shared" si="116"/>
        <v>326.70000000000078</v>
      </c>
      <c r="BI169" s="62">
        <f ca="1">AVERAGE(OFFSET($BH$3,0,0,'Données projet'!$E$11+1,1))-AVERAGE(OFFSET($H$3,0,0,'Données projet'!$E$11+1,1))</f>
        <v>316.00112010575197</v>
      </c>
      <c r="BJ169" s="62">
        <f t="shared" si="146"/>
        <v>345.16550310248078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1.2596066131725172E-19</v>
      </c>
      <c r="BS169" s="24">
        <f t="shared" si="169"/>
        <v>1.2596066131725172E-19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79.099999999999994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19.304532000000002</v>
      </c>
      <c r="D170" s="12">
        <f t="shared" si="140"/>
        <v>6.3031929606039405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25.697576627132378</v>
      </c>
      <c r="H170" s="70">
        <f t="shared" si="110"/>
        <v>334.63345430638515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326.70000000000186</v>
      </c>
      <c r="S170" s="62">
        <f ca="1">AVERAGE(OFFSET($R$3,0,0,'Données projet'!$E$9+1,1))-AVERAGE(OFFSET($H$3,0,0,'Données projet'!$E$9+1,1))</f>
        <v>358.51982625142648</v>
      </c>
      <c r="T170" s="62">
        <f t="shared" si="142"/>
        <v>432.55677461330856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3.8229129574428262E-2</v>
      </c>
      <c r="AB170" s="23">
        <f>EXP(-LN(2)/2)*AB169+(1-EXP(-LN(2)/2))/(LN(2)/2)*V170*Y170*VLOOKUP('Données projet'!$B$9,Paramètres!$A$1:$I$89,3,0)*0.475*44/12</f>
        <v>6.1069846957532004E-20</v>
      </c>
      <c r="AC170" s="24">
        <f t="shared" si="163"/>
        <v>3.8229129574428262E-2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264.16738206207805</v>
      </c>
      <c r="AO170" s="62">
        <f t="shared" si="144"/>
        <v>233.21990345647771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5.8347875567379324E-20</v>
      </c>
      <c r="AX170" s="23">
        <f t="shared" si="166"/>
        <v>5.8347875567379324E-20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2.8421709430404007E-14</v>
      </c>
      <c r="BE170" s="14">
        <f>BD170*VLOOKUP('Données projet'!$B$11,Paramètres!$A$1:$I$89,3,0)*VLOOKUP('Données projet'!$B$11,Paramètres!$A$1:$I$89,5,0)</f>
        <v>2.4829205358400945E-14</v>
      </c>
      <c r="BF170" s="14">
        <f t="shared" si="167"/>
        <v>4.3867331143352915E-13</v>
      </c>
      <c r="BG170" s="22">
        <f t="shared" si="168"/>
        <v>8.0726688341261168E-13</v>
      </c>
      <c r="BH170" s="62">
        <f t="shared" si="116"/>
        <v>326.70000000000078</v>
      </c>
      <c r="BI170" s="62">
        <f ca="1">AVERAGE(OFFSET($BH$3,0,0,'Données projet'!$E$11+1,1))-AVERAGE(OFFSET($H$3,0,0,'Données projet'!$E$11+1,1))</f>
        <v>316.00112010575197</v>
      </c>
      <c r="BJ170" s="62">
        <f t="shared" si="146"/>
        <v>345.16550310248078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8.9067637780170735E-20</v>
      </c>
      <c r="BS170" s="24">
        <f t="shared" si="169"/>
        <v>8.9067637780170735E-20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79.099999999999994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19.420128000000002</v>
      </c>
      <c r="D171" s="12">
        <f t="shared" si="140"/>
        <v>6.3365316709251767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25.847033915384568</v>
      </c>
      <c r="H171" s="70">
        <f t="shared" si="110"/>
        <v>334.89284892686135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326.70000000000186</v>
      </c>
      <c r="S171" s="62">
        <f ca="1">AVERAGE(OFFSET($R$3,0,0,'Données projet'!$E$9+1,1))-AVERAGE(OFFSET($H$3,0,0,'Données projet'!$E$9+1,1))</f>
        <v>358.51982625142648</v>
      </c>
      <c r="T171" s="62">
        <f t="shared" si="142"/>
        <v>432.55677461330856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3.7183752015832974E-2</v>
      </c>
      <c r="AB171" s="23">
        <f>EXP(-LN(2)/2)*AB170+(1-EXP(-LN(2)/2))/(LN(2)/2)*V171*Y171*VLOOKUP('Données projet'!$B$9,Paramètres!$A$1:$I$89,3,0)*0.475*44/12</f>
        <v>4.3182902909695529E-20</v>
      </c>
      <c r="AC171" s="24">
        <f t="shared" si="163"/>
        <v>3.7183752015832974E-2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264.16738206207805</v>
      </c>
      <c r="AO171" s="62">
        <f t="shared" si="144"/>
        <v>233.21990345647771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4.1258178481522795E-20</v>
      </c>
      <c r="AX171" s="23">
        <f t="shared" si="166"/>
        <v>4.1258178481522795E-20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2.8421709430404007E-14</v>
      </c>
      <c r="BE171" s="14">
        <f>BD171*VLOOKUP('Données projet'!$B$11,Paramètres!$A$1:$I$89,3,0)*VLOOKUP('Données projet'!$B$11,Paramètres!$A$1:$I$89,5,0)</f>
        <v>2.4829205358400945E-14</v>
      </c>
      <c r="BF171" s="14">
        <f t="shared" si="167"/>
        <v>4.3867331143352915E-13</v>
      </c>
      <c r="BG171" s="22">
        <f t="shared" si="168"/>
        <v>8.0726688341261168E-13</v>
      </c>
      <c r="BH171" s="62">
        <f t="shared" si="116"/>
        <v>326.70000000000078</v>
      </c>
      <c r="BI171" s="62">
        <f ca="1">AVERAGE(OFFSET($BH$3,0,0,'Données projet'!$E$11+1,1))-AVERAGE(OFFSET($H$3,0,0,'Données projet'!$E$11+1,1))</f>
        <v>316.00112010575197</v>
      </c>
      <c r="BJ171" s="62">
        <f t="shared" si="146"/>
        <v>345.16550310248078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6.2980330658625861E-20</v>
      </c>
      <c r="BS171" s="24">
        <f t="shared" si="169"/>
        <v>6.2980330658625861E-20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79.099999999999994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19.535724000000002</v>
      </c>
      <c r="D172" s="12">
        <f t="shared" si="140"/>
        <v>6.3698472901388827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25.996468031507792</v>
      </c>
      <c r="H172" s="70">
        <f t="shared" si="110"/>
        <v>335.15220333032516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326.70000000000186</v>
      </c>
      <c r="S172" s="62">
        <f ca="1">AVERAGE(OFFSET($R$3,0,0,'Données projet'!$E$9+1,1))-AVERAGE(OFFSET($H$3,0,0,'Données projet'!$E$9+1,1))</f>
        <v>358.51982625142648</v>
      </c>
      <c r="T172" s="62">
        <f t="shared" si="142"/>
        <v>432.55677461330856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3.6166960361551488E-2</v>
      </c>
      <c r="AB172" s="23">
        <f>EXP(-LN(2)/2)*AB171+(1-EXP(-LN(2)/2))/(LN(2)/2)*V172*Y172*VLOOKUP('Données projet'!$B$9,Paramètres!$A$1:$I$89,3,0)*0.475*44/12</f>
        <v>3.0534923478766002E-20</v>
      </c>
      <c r="AC172" s="24">
        <f t="shared" si="163"/>
        <v>3.6166960361551488E-2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264.16738206207805</v>
      </c>
      <c r="AO172" s="62">
        <f t="shared" si="144"/>
        <v>233.21990345647771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2.9173937783689662E-20</v>
      </c>
      <c r="AX172" s="23">
        <f t="shared" si="166"/>
        <v>2.9173937783689662E-20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2.8421709430404007E-14</v>
      </c>
      <c r="BE172" s="14">
        <f>BD172*VLOOKUP('Données projet'!$B$11,Paramètres!$A$1:$I$89,3,0)*VLOOKUP('Données projet'!$B$11,Paramètres!$A$1:$I$89,5,0)</f>
        <v>2.4829205358400945E-14</v>
      </c>
      <c r="BF172" s="14">
        <f t="shared" si="167"/>
        <v>4.3867331143352915E-13</v>
      </c>
      <c r="BG172" s="22">
        <f t="shared" si="168"/>
        <v>8.0726688341261168E-13</v>
      </c>
      <c r="BH172" s="62">
        <f t="shared" si="116"/>
        <v>326.70000000000078</v>
      </c>
      <c r="BI172" s="62">
        <f ca="1">AVERAGE(OFFSET($BH$3,0,0,'Données projet'!$E$11+1,1))-AVERAGE(OFFSET($H$3,0,0,'Données projet'!$E$11+1,1))</f>
        <v>316.00112010575197</v>
      </c>
      <c r="BJ172" s="62">
        <f t="shared" si="146"/>
        <v>345.16550310248078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4.4533818890085368E-20</v>
      </c>
      <c r="BS172" s="24">
        <f t="shared" si="169"/>
        <v>4.4533818890085368E-20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79.099999999999994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19.651320000000002</v>
      </c>
      <c r="D173" s="12">
        <f t="shared" si="140"/>
        <v>6.4031399707322674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26.145879128524314</v>
      </c>
      <c r="H173" s="70">
        <f t="shared" si="110"/>
        <v>335.41151778235866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326.70000000000186</v>
      </c>
      <c r="S173" s="62">
        <f ca="1">AVERAGE(OFFSET($R$3,0,0,'Données projet'!$E$9+1,1))-AVERAGE(OFFSET($H$3,0,0,'Données projet'!$E$9+1,1))</f>
        <v>358.51982625142648</v>
      </c>
      <c r="T173" s="62">
        <f t="shared" si="142"/>
        <v>432.55677461330856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3.5177972928527076E-2</v>
      </c>
      <c r="AB173" s="23">
        <f>EXP(-LN(2)/2)*AB172+(1-EXP(-LN(2)/2))/(LN(2)/2)*V173*Y173*VLOOKUP('Données projet'!$B$9,Paramètres!$A$1:$I$89,3,0)*0.475*44/12</f>
        <v>2.1591451454847764E-20</v>
      </c>
      <c r="AC173" s="24">
        <f t="shared" si="163"/>
        <v>3.5177972928527076E-2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264.16738206207805</v>
      </c>
      <c r="AO173" s="62">
        <f t="shared" si="144"/>
        <v>233.21990345647771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2.0629089240761397E-20</v>
      </c>
      <c r="AX173" s="23">
        <f t="shared" si="166"/>
        <v>2.0629089240761397E-20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2.8421709430404007E-14</v>
      </c>
      <c r="BE173" s="14">
        <f>BD173*VLOOKUP('Données projet'!$B$11,Paramètres!$A$1:$I$89,3,0)*VLOOKUP('Données projet'!$B$11,Paramètres!$A$1:$I$89,5,0)</f>
        <v>2.4829205358400945E-14</v>
      </c>
      <c r="BF173" s="14">
        <f t="shared" si="167"/>
        <v>4.3867331143352915E-13</v>
      </c>
      <c r="BG173" s="22">
        <f t="shared" si="168"/>
        <v>8.0726688341261168E-13</v>
      </c>
      <c r="BH173" s="62">
        <f t="shared" si="116"/>
        <v>326.70000000000078</v>
      </c>
      <c r="BI173" s="62">
        <f ca="1">AVERAGE(OFFSET($BH$3,0,0,'Données projet'!$E$11+1,1))-AVERAGE(OFFSET($H$3,0,0,'Données projet'!$E$11+1,1))</f>
        <v>316.00112010575197</v>
      </c>
      <c r="BJ173" s="62">
        <f t="shared" si="146"/>
        <v>345.16550310248078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3.1490165329312931E-20</v>
      </c>
      <c r="BS173" s="24">
        <f t="shared" si="169"/>
        <v>3.1490165329312931E-20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79.099999999999994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19.766916000000002</v>
      </c>
      <c r="D174" s="12">
        <f t="shared" si="140"/>
        <v>6.4364098632947817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26.29526735755196</v>
      </c>
      <c r="H174" s="70">
        <f t="shared" si="110"/>
        <v>335.67079254523838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326.70000000000186</v>
      </c>
      <c r="S174" s="62">
        <f ca="1">AVERAGE(OFFSET($R$3,0,0,'Données projet'!$E$9+1,1))-AVERAGE(OFFSET($H$3,0,0,'Données projet'!$E$9+1,1))</f>
        <v>358.51982625142648</v>
      </c>
      <c r="T174" s="62">
        <f t="shared" si="142"/>
        <v>432.55677461330856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3.421602940886731E-2</v>
      </c>
      <c r="AB174" s="23">
        <f>EXP(-LN(2)/2)*AB173+(1-EXP(-LN(2)/2))/(LN(2)/2)*V174*Y174*VLOOKUP('Données projet'!$B$9,Paramètres!$A$1:$I$89,3,0)*0.475*44/12</f>
        <v>1.5267461739383001E-20</v>
      </c>
      <c r="AC174" s="24">
        <f t="shared" si="163"/>
        <v>3.421602940886731E-2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264.16738206207805</v>
      </c>
      <c r="AO174" s="62">
        <f t="shared" si="144"/>
        <v>233.21990345647771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1.4586968891844831E-20</v>
      </c>
      <c r="AX174" s="23">
        <f t="shared" si="166"/>
        <v>1.4586968891844831E-20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2.8421709430404007E-14</v>
      </c>
      <c r="BE174" s="14">
        <f>BD174*VLOOKUP('Données projet'!$B$11,Paramètres!$A$1:$I$89,3,0)*VLOOKUP('Données projet'!$B$11,Paramètres!$A$1:$I$89,5,0)</f>
        <v>2.4829205358400945E-14</v>
      </c>
      <c r="BF174" s="14">
        <f t="shared" si="167"/>
        <v>4.3867331143352915E-13</v>
      </c>
      <c r="BG174" s="22">
        <f t="shared" si="168"/>
        <v>8.0726688341261168E-13</v>
      </c>
      <c r="BH174" s="62">
        <f t="shared" si="116"/>
        <v>326.70000000000078</v>
      </c>
      <c r="BI174" s="62">
        <f ca="1">AVERAGE(OFFSET($BH$3,0,0,'Données projet'!$E$11+1,1))-AVERAGE(OFFSET($H$3,0,0,'Données projet'!$E$11+1,1))</f>
        <v>316.00112010575197</v>
      </c>
      <c r="BJ174" s="62">
        <f t="shared" si="146"/>
        <v>345.16550310248078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2.2266909445042684E-20</v>
      </c>
      <c r="BS174" s="24">
        <f t="shared" si="169"/>
        <v>2.2266909445042684E-20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79.099999999999994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19.882512000000002</v>
      </c>
      <c r="D175" s="12">
        <f t="shared" si="140"/>
        <v>6.4696571165526908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26.444632867838848</v>
      </c>
      <c r="H175" s="70">
        <f t="shared" si="110"/>
        <v>335.93002787799594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326.70000000000186</v>
      </c>
      <c r="S175" s="62">
        <f ca="1">AVERAGE(OFFSET($R$3,0,0,'Données projet'!$E$9+1,1))-AVERAGE(OFFSET($H$3,0,0,'Données projet'!$E$9+1,1))</f>
        <v>358.51982625142648</v>
      </c>
      <c r="T175" s="62">
        <f t="shared" si="142"/>
        <v>432.55677461330856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3.3280390285339051E-2</v>
      </c>
      <c r="AB175" s="23">
        <f>EXP(-LN(2)/2)*AB174+(1-EXP(-LN(2)/2))/(LN(2)/2)*V175*Y175*VLOOKUP('Données projet'!$B$9,Paramètres!$A$1:$I$89,3,0)*0.475*44/12</f>
        <v>1.0795725727423882E-20</v>
      </c>
      <c r="AC175" s="24">
        <f t="shared" si="163"/>
        <v>3.3280390285339051E-2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264.16738206207805</v>
      </c>
      <c r="AO175" s="62">
        <f t="shared" si="144"/>
        <v>233.21990345647771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1.0314544620380699E-20</v>
      </c>
      <c r="AX175" s="23">
        <f t="shared" si="166"/>
        <v>1.0314544620380699E-20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2.8421709430404007E-14</v>
      </c>
      <c r="BE175" s="14">
        <f>BD175*VLOOKUP('Données projet'!$B$11,Paramètres!$A$1:$I$89,3,0)*VLOOKUP('Données projet'!$B$11,Paramètres!$A$1:$I$89,5,0)</f>
        <v>2.4829205358400945E-14</v>
      </c>
      <c r="BF175" s="14">
        <f t="shared" si="167"/>
        <v>4.3867331143352915E-13</v>
      </c>
      <c r="BG175" s="22">
        <f t="shared" si="168"/>
        <v>8.0726688341261168E-13</v>
      </c>
      <c r="BH175" s="62">
        <f t="shared" si="116"/>
        <v>326.70000000000078</v>
      </c>
      <c r="BI175" s="62">
        <f ca="1">AVERAGE(OFFSET($BH$3,0,0,'Données projet'!$E$11+1,1))-AVERAGE(OFFSET($H$3,0,0,'Données projet'!$E$11+1,1))</f>
        <v>316.00112010575197</v>
      </c>
      <c r="BJ175" s="62">
        <f t="shared" si="146"/>
        <v>345.16550310248078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1.5745082664656465E-20</v>
      </c>
      <c r="BS175" s="24">
        <f t="shared" si="169"/>
        <v>1.5745082664656465E-20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79.099999999999994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19.998108000000002</v>
      </c>
      <c r="D176" s="12">
        <f t="shared" si="140"/>
        <v>6.5028818774028281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26.593975806797229</v>
      </c>
      <c r="H176" s="70">
        <f t="shared" si="110"/>
        <v>336.18922403647656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326.70000000000186</v>
      </c>
      <c r="S176" s="62">
        <f ca="1">AVERAGE(OFFSET($R$3,0,0,'Données projet'!$E$9+1,1))-AVERAGE(OFFSET($H$3,0,0,'Données projet'!$E$9+1,1))</f>
        <v>358.51982625142648</v>
      </c>
      <c r="T176" s="62">
        <f t="shared" si="142"/>
        <v>432.55677461330856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3.2370336262846792E-2</v>
      </c>
      <c r="AB176" s="23">
        <f>EXP(-LN(2)/2)*AB175+(1-EXP(-LN(2)/2))/(LN(2)/2)*V176*Y176*VLOOKUP('Données projet'!$B$9,Paramètres!$A$1:$I$89,3,0)*0.475*44/12</f>
        <v>7.6337308696915005E-21</v>
      </c>
      <c r="AC176" s="24">
        <f t="shared" si="163"/>
        <v>3.2370336262846792E-2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264.16738206207805</v>
      </c>
      <c r="AO176" s="62">
        <f t="shared" si="144"/>
        <v>233.21990345647771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7.2934844459224155E-21</v>
      </c>
      <c r="AX176" s="23">
        <f t="shared" si="166"/>
        <v>7.2934844459224155E-21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2.8421709430404007E-14</v>
      </c>
      <c r="BE176" s="14">
        <f>BD176*VLOOKUP('Données projet'!$B$11,Paramètres!$A$1:$I$89,3,0)*VLOOKUP('Données projet'!$B$11,Paramètres!$A$1:$I$89,5,0)</f>
        <v>2.4829205358400945E-14</v>
      </c>
      <c r="BF176" s="14">
        <f t="shared" si="167"/>
        <v>4.3867331143352915E-13</v>
      </c>
      <c r="BG176" s="22">
        <f t="shared" si="168"/>
        <v>8.0726688341261168E-13</v>
      </c>
      <c r="BH176" s="62">
        <f t="shared" si="116"/>
        <v>326.70000000000078</v>
      </c>
      <c r="BI176" s="62">
        <f ca="1">AVERAGE(OFFSET($BH$3,0,0,'Données projet'!$E$11+1,1))-AVERAGE(OFFSET($H$3,0,0,'Données projet'!$E$11+1,1))</f>
        <v>316.00112010575197</v>
      </c>
      <c r="BJ176" s="62">
        <f t="shared" si="146"/>
        <v>345.16550310248078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1.1133454722521342E-20</v>
      </c>
      <c r="BS176" s="24">
        <f t="shared" si="169"/>
        <v>1.1133454722521342E-20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79.099999999999994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20.113704000000002</v>
      </c>
      <c r="D177" s="12">
        <f t="shared" si="140"/>
        <v>6.5360842909455332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26.743296320036578</v>
      </c>
      <c r="H177" s="70">
        <f t="shared" si="110"/>
        <v>336.44838127339676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326.70000000000186</v>
      </c>
      <c r="S177" s="62">
        <f ca="1">AVERAGE(OFFSET($R$3,0,0,'Données projet'!$E$9+1,1))-AVERAGE(OFFSET($H$3,0,0,'Données projet'!$E$9+1,1))</f>
        <v>358.51982625142648</v>
      </c>
      <c r="T177" s="62">
        <f t="shared" si="142"/>
        <v>432.55677461330856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3.1485167715457243E-2</v>
      </c>
      <c r="AB177" s="23">
        <f>EXP(-LN(2)/2)*AB176+(1-EXP(-LN(2)/2))/(LN(2)/2)*V177*Y177*VLOOKUP('Données projet'!$B$9,Paramètres!$A$1:$I$89,3,0)*0.475*44/12</f>
        <v>5.3978628637119411E-21</v>
      </c>
      <c r="AC177" s="24">
        <f t="shared" si="163"/>
        <v>3.1485167715457243E-2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264.16738206207805</v>
      </c>
      <c r="AO177" s="62">
        <f t="shared" si="144"/>
        <v>233.21990345647771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5.1572723101903493E-21</v>
      </c>
      <c r="AX177" s="23">
        <f t="shared" si="166"/>
        <v>5.1572723101903493E-21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2.8421709430404007E-14</v>
      </c>
      <c r="BE177" s="14">
        <f>BD177*VLOOKUP('Données projet'!$B$11,Paramètres!$A$1:$I$89,3,0)*VLOOKUP('Données projet'!$B$11,Paramètres!$A$1:$I$89,5,0)</f>
        <v>2.4829205358400945E-14</v>
      </c>
      <c r="BF177" s="14">
        <f t="shared" si="167"/>
        <v>4.3867331143352915E-13</v>
      </c>
      <c r="BG177" s="22">
        <f t="shared" si="168"/>
        <v>8.0726688341261168E-13</v>
      </c>
      <c r="BH177" s="62">
        <f t="shared" si="116"/>
        <v>326.70000000000078</v>
      </c>
      <c r="BI177" s="62">
        <f ca="1">AVERAGE(OFFSET($BH$3,0,0,'Données projet'!$E$11+1,1))-AVERAGE(OFFSET($H$3,0,0,'Données projet'!$E$11+1,1))</f>
        <v>316.00112010575197</v>
      </c>
      <c r="BJ177" s="62">
        <f t="shared" si="146"/>
        <v>345.16550310248078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7.8725413323282326E-21</v>
      </c>
      <c r="BS177" s="24">
        <f t="shared" si="169"/>
        <v>7.8725413323282326E-21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79.099999999999994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20.229300000000002</v>
      </c>
      <c r="D178" s="12">
        <f t="shared" si="140"/>
        <v>6.5692645005168133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26.89259455139582</v>
      </c>
      <c r="H178" s="70">
        <f t="shared" si="110"/>
        <v>336.70749983840011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326.70000000000186</v>
      </c>
      <c r="S178" s="62">
        <f ca="1">AVERAGE(OFFSET($R$3,0,0,'Données projet'!$E$9+1,1))-AVERAGE(OFFSET($H$3,0,0,'Données projet'!$E$9+1,1))</f>
        <v>358.51982625142648</v>
      </c>
      <c r="T178" s="62">
        <f t="shared" si="142"/>
        <v>432.55677461330856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3.0624204148545057E-2</v>
      </c>
      <c r="AB178" s="23">
        <f>EXP(-LN(2)/2)*AB177+(1-EXP(-LN(2)/2))/(LN(2)/2)*V178*Y178*VLOOKUP('Données projet'!$B$9,Paramètres!$A$1:$I$89,3,0)*0.475*44/12</f>
        <v>3.8168654348457502E-21</v>
      </c>
      <c r="AC178" s="24">
        <f t="shared" si="163"/>
        <v>3.0624204148545057E-2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264.16738206207805</v>
      </c>
      <c r="AO178" s="62">
        <f t="shared" si="144"/>
        <v>233.21990345647771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3.6467422229612078E-21</v>
      </c>
      <c r="AX178" s="23">
        <f t="shared" si="166"/>
        <v>3.6467422229612078E-21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2.8421709430404007E-14</v>
      </c>
      <c r="BE178" s="14">
        <f>BD178*VLOOKUP('Données projet'!$B$11,Paramètres!$A$1:$I$89,3,0)*VLOOKUP('Données projet'!$B$11,Paramètres!$A$1:$I$89,5,0)</f>
        <v>2.4829205358400945E-14</v>
      </c>
      <c r="BF178" s="14">
        <f t="shared" si="167"/>
        <v>4.3867331143352915E-13</v>
      </c>
      <c r="BG178" s="22">
        <f t="shared" si="168"/>
        <v>8.0726688341261168E-13</v>
      </c>
      <c r="BH178" s="62">
        <f t="shared" si="116"/>
        <v>326.70000000000078</v>
      </c>
      <c r="BI178" s="62">
        <f ca="1">AVERAGE(OFFSET($BH$3,0,0,'Données projet'!$E$11+1,1))-AVERAGE(OFFSET($H$3,0,0,'Données projet'!$E$11+1,1))</f>
        <v>316.00112010575197</v>
      </c>
      <c r="BJ178" s="62">
        <f t="shared" si="146"/>
        <v>345.16550310248078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5.566727361260671E-21</v>
      </c>
      <c r="BS178" s="24">
        <f t="shared" si="169"/>
        <v>5.566727361260671E-21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79.099999999999994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20.344896000000002</v>
      </c>
      <c r="D179" s="12">
        <f t="shared" si="140"/>
        <v>6.6024226477197709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27.041870642974928</v>
      </c>
      <c r="H179" s="70">
        <f t="shared" si="110"/>
        <v>336.96657997811189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326.70000000000186</v>
      </c>
      <c r="S179" s="62">
        <f ca="1">AVERAGE(OFFSET($R$3,0,0,'Données projet'!$E$9+1,1))-AVERAGE(OFFSET($H$3,0,0,'Données projet'!$E$9+1,1))</f>
        <v>358.51982625142648</v>
      </c>
      <c r="T179" s="62">
        <f t="shared" si="142"/>
        <v>432.55677461330856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2.9786783675646189E-2</v>
      </c>
      <c r="AB179" s="23">
        <f>EXP(-LN(2)/2)*AB178+(1-EXP(-LN(2)/2))/(LN(2)/2)*V179*Y179*VLOOKUP('Données projet'!$B$9,Paramètres!$A$1:$I$89,3,0)*0.475*44/12</f>
        <v>2.6989314318559706E-21</v>
      </c>
      <c r="AC179" s="24">
        <f t="shared" si="163"/>
        <v>2.9786783675646189E-2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264.16738206207805</v>
      </c>
      <c r="AO179" s="62">
        <f t="shared" si="144"/>
        <v>233.21990345647771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2.5786361550951747E-21</v>
      </c>
      <c r="AX179" s="23">
        <f t="shared" si="166"/>
        <v>2.5786361550951747E-21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2.8421709430404007E-14</v>
      </c>
      <c r="BE179" s="14">
        <f>BD179*VLOOKUP('Données projet'!$B$11,Paramètres!$A$1:$I$89,3,0)*VLOOKUP('Données projet'!$B$11,Paramètres!$A$1:$I$89,5,0)</f>
        <v>2.4829205358400945E-14</v>
      </c>
      <c r="BF179" s="14">
        <f t="shared" si="167"/>
        <v>4.3867331143352915E-13</v>
      </c>
      <c r="BG179" s="22">
        <f t="shared" si="168"/>
        <v>8.0726688341261168E-13</v>
      </c>
      <c r="BH179" s="62">
        <f t="shared" si="116"/>
        <v>326.70000000000078</v>
      </c>
      <c r="BI179" s="62">
        <f ca="1">AVERAGE(OFFSET($BH$3,0,0,'Données projet'!$E$11+1,1))-AVERAGE(OFFSET($H$3,0,0,'Données projet'!$E$11+1,1))</f>
        <v>316.00112010575197</v>
      </c>
      <c r="BJ179" s="62">
        <f t="shared" si="146"/>
        <v>345.16550310248078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3.9362706661641163E-21</v>
      </c>
      <c r="BS179" s="24">
        <f t="shared" si="169"/>
        <v>3.9362706661641163E-21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79.099999999999994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20.460492000000002</v>
      </c>
      <c r="D180" s="12">
        <f t="shared" si="140"/>
        <v>6.6355588724552579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27.19112473516563</v>
      </c>
      <c r="H180" s="70">
        <f t="shared" si="110"/>
        <v>337.22562193619285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326.70000000000186</v>
      </c>
      <c r="S180" s="62">
        <f ca="1">AVERAGE(OFFSET($R$3,0,0,'Données projet'!$E$9+1,1))-AVERAGE(OFFSET($H$3,0,0,'Données projet'!$E$9+1,1))</f>
        <v>358.51982625142648</v>
      </c>
      <c r="T180" s="62">
        <f t="shared" si="142"/>
        <v>432.55677461330856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2.8972262509616768E-2</v>
      </c>
      <c r="AB180" s="23">
        <f>EXP(-LN(2)/2)*AB179+(1-EXP(-LN(2)/2))/(LN(2)/2)*V180*Y180*VLOOKUP('Données projet'!$B$9,Paramètres!$A$1:$I$89,3,0)*0.475*44/12</f>
        <v>1.9084327174228751E-21</v>
      </c>
      <c r="AC180" s="24">
        <f t="shared" si="163"/>
        <v>2.8972262509616768E-2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264.16738206207805</v>
      </c>
      <c r="AO180" s="62">
        <f t="shared" si="144"/>
        <v>233.21990345647771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1.8233711114806039E-21</v>
      </c>
      <c r="AX180" s="23">
        <f t="shared" si="166"/>
        <v>1.8233711114806039E-21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2.8421709430404007E-14</v>
      </c>
      <c r="BE180" s="14">
        <f>BD180*VLOOKUP('Données projet'!$B$11,Paramètres!$A$1:$I$89,3,0)*VLOOKUP('Données projet'!$B$11,Paramètres!$A$1:$I$89,5,0)</f>
        <v>2.4829205358400945E-14</v>
      </c>
      <c r="BF180" s="14">
        <f t="shared" si="167"/>
        <v>4.3867331143352915E-13</v>
      </c>
      <c r="BG180" s="22">
        <f t="shared" si="168"/>
        <v>8.0726688341261168E-13</v>
      </c>
      <c r="BH180" s="62">
        <f t="shared" si="116"/>
        <v>326.70000000000078</v>
      </c>
      <c r="BI180" s="62">
        <f ca="1">AVERAGE(OFFSET($BH$3,0,0,'Données projet'!$E$11+1,1))-AVERAGE(OFFSET($H$3,0,0,'Données projet'!$E$11+1,1))</f>
        <v>316.00112010575197</v>
      </c>
      <c r="BJ180" s="62">
        <f t="shared" si="146"/>
        <v>345.16550310248078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2.7833636806303355E-21</v>
      </c>
      <c r="BS180" s="24">
        <f t="shared" si="169"/>
        <v>2.7833636806303355E-21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79.099999999999994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20.576088000000002</v>
      </c>
      <c r="D181" s="12">
        <f t="shared" si="140"/>
        <v>6.6686733129518538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27.340356966681512</v>
      </c>
      <c r="H181" s="70">
        <f t="shared" si="110"/>
        <v>337.48462595339112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326.70000000000186</v>
      </c>
      <c r="S181" s="62">
        <f ca="1">AVERAGE(OFFSET($R$3,0,0,'Données projet'!$E$9+1,1))-AVERAGE(OFFSET($H$3,0,0,'Données projet'!$E$9+1,1))</f>
        <v>358.51982625142648</v>
      </c>
      <c r="T181" s="62">
        <f t="shared" si="142"/>
        <v>432.55677461330856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2.8180014467706228E-2</v>
      </c>
      <c r="AB181" s="23">
        <f>EXP(-LN(2)/2)*AB180+(1-EXP(-LN(2)/2))/(LN(2)/2)*V181*Y181*VLOOKUP('Données projet'!$B$9,Paramètres!$A$1:$I$89,3,0)*0.475*44/12</f>
        <v>1.3494657159279853E-21</v>
      </c>
      <c r="AC181" s="24">
        <f t="shared" si="163"/>
        <v>2.8180014467706228E-2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264.16738206207805</v>
      </c>
      <c r="AO181" s="62">
        <f t="shared" si="144"/>
        <v>233.21990345647771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1.2893180775475873E-21</v>
      </c>
      <c r="AX181" s="23">
        <f t="shared" si="166"/>
        <v>1.2893180775475873E-21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2.8421709430404007E-14</v>
      </c>
      <c r="BE181" s="14">
        <f>BD181*VLOOKUP('Données projet'!$B$11,Paramètres!$A$1:$I$89,3,0)*VLOOKUP('Données projet'!$B$11,Paramètres!$A$1:$I$89,5,0)</f>
        <v>2.4829205358400945E-14</v>
      </c>
      <c r="BF181" s="14">
        <f t="shared" si="167"/>
        <v>4.3867331143352915E-13</v>
      </c>
      <c r="BG181" s="22">
        <f t="shared" si="168"/>
        <v>8.0726688341261168E-13</v>
      </c>
      <c r="BH181" s="62">
        <f t="shared" si="116"/>
        <v>326.70000000000078</v>
      </c>
      <c r="BI181" s="62">
        <f ca="1">AVERAGE(OFFSET($BH$3,0,0,'Données projet'!$E$11+1,1))-AVERAGE(OFFSET($H$3,0,0,'Données projet'!$E$11+1,1))</f>
        <v>316.00112010575197</v>
      </c>
      <c r="BJ181" s="62">
        <f t="shared" si="146"/>
        <v>345.16550310248078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1.9681353330820582E-21</v>
      </c>
      <c r="BS181" s="24">
        <f t="shared" si="169"/>
        <v>1.9681353330820582E-21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79.099999999999994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20.691684000000002</v>
      </c>
      <c r="D182" s="12">
        <f t="shared" si="140"/>
        <v>6.7017661057951221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27.489567474587389</v>
      </c>
      <c r="H182" s="70">
        <f t="shared" si="110"/>
        <v>337.74359226759316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326.70000000000186</v>
      </c>
      <c r="S182" s="62">
        <f ca="1">AVERAGE(OFFSET($R$3,0,0,'Données projet'!$E$9+1,1))-AVERAGE(OFFSET($H$3,0,0,'Données projet'!$E$9+1,1))</f>
        <v>358.51982625142648</v>
      </c>
      <c r="T182" s="62">
        <f t="shared" si="142"/>
        <v>432.55677461330856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2.7409430490164248E-2</v>
      </c>
      <c r="AB182" s="23">
        <f>EXP(-LN(2)/2)*AB181+(1-EXP(-LN(2)/2))/(LN(2)/2)*V182*Y182*VLOOKUP('Données projet'!$B$9,Paramètres!$A$1:$I$89,3,0)*0.475*44/12</f>
        <v>9.5421635871143756E-22</v>
      </c>
      <c r="AC182" s="24">
        <f t="shared" si="163"/>
        <v>2.7409430490164248E-2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264.16738206207805</v>
      </c>
      <c r="AO182" s="62">
        <f t="shared" si="144"/>
        <v>233.21990345647771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9.1168555574030194E-22</v>
      </c>
      <c r="AX182" s="23">
        <f t="shared" si="166"/>
        <v>9.1168555574030194E-22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2.8421709430404007E-14</v>
      </c>
      <c r="BE182" s="14">
        <f>BD182*VLOOKUP('Données projet'!$B$11,Paramètres!$A$1:$I$89,3,0)*VLOOKUP('Données projet'!$B$11,Paramètres!$A$1:$I$89,5,0)</f>
        <v>2.4829205358400945E-14</v>
      </c>
      <c r="BF182" s="14">
        <f t="shared" si="167"/>
        <v>4.3867331143352915E-13</v>
      </c>
      <c r="BG182" s="22">
        <f t="shared" si="168"/>
        <v>8.0726688341261168E-13</v>
      </c>
      <c r="BH182" s="62">
        <f t="shared" si="116"/>
        <v>326.70000000000078</v>
      </c>
      <c r="BI182" s="62">
        <f ca="1">AVERAGE(OFFSET($BH$3,0,0,'Données projet'!$E$11+1,1))-AVERAGE(OFFSET($H$3,0,0,'Données projet'!$E$11+1,1))</f>
        <v>316.00112010575197</v>
      </c>
      <c r="BJ182" s="62">
        <f t="shared" si="146"/>
        <v>345.16550310248078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1.3916818403151677E-21</v>
      </c>
      <c r="BS182" s="24">
        <f t="shared" si="169"/>
        <v>1.3916818403151677E-21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79.099999999999994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20.807280000000002</v>
      </c>
      <c r="D183" s="12">
        <f t="shared" si="140"/>
        <v>6.7348373859562134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27.638756394327995</v>
      </c>
      <c r="H183" s="70">
        <f t="shared" si="110"/>
        <v>338.00252111387374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326.70000000000186</v>
      </c>
      <c r="S183" s="62">
        <f ca="1">AVERAGE(OFFSET($R$3,0,0,'Données projet'!$E$9+1,1))-AVERAGE(OFFSET($H$3,0,0,'Données projet'!$E$9+1,1))</f>
        <v>358.51982625142648</v>
      </c>
      <c r="T183" s="62">
        <f t="shared" si="142"/>
        <v>432.55677461330856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2.6659918172011403E-2</v>
      </c>
      <c r="AB183" s="23">
        <f>EXP(-LN(2)/2)*AB182+(1-EXP(-LN(2)/2))/(LN(2)/2)*V183*Y183*VLOOKUP('Données projet'!$B$9,Paramètres!$A$1:$I$89,3,0)*0.475*44/12</f>
        <v>6.7473285796399264E-22</v>
      </c>
      <c r="AC183" s="24">
        <f t="shared" si="163"/>
        <v>2.6659918172011403E-2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264.16738206207805</v>
      </c>
      <c r="AO183" s="62">
        <f t="shared" si="144"/>
        <v>233.21990345647771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6.4465903877379367E-22</v>
      </c>
      <c r="AX183" s="23">
        <f t="shared" si="166"/>
        <v>6.4465903877379367E-22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2.8421709430404007E-14</v>
      </c>
      <c r="BE183" s="14">
        <f>BD183*VLOOKUP('Données projet'!$B$11,Paramètres!$A$1:$I$89,3,0)*VLOOKUP('Données projet'!$B$11,Paramètres!$A$1:$I$89,5,0)</f>
        <v>2.4829205358400945E-14</v>
      </c>
      <c r="BF183" s="14">
        <f t="shared" si="167"/>
        <v>4.3867331143352915E-13</v>
      </c>
      <c r="BG183" s="22">
        <f t="shared" si="168"/>
        <v>8.0726688341261168E-13</v>
      </c>
      <c r="BH183" s="62">
        <f t="shared" si="116"/>
        <v>326.70000000000078</v>
      </c>
      <c r="BI183" s="62">
        <f ca="1">AVERAGE(OFFSET($BH$3,0,0,'Données projet'!$E$11+1,1))-AVERAGE(OFFSET($H$3,0,0,'Données projet'!$E$11+1,1))</f>
        <v>316.00112010575197</v>
      </c>
      <c r="BJ183" s="62">
        <f t="shared" si="146"/>
        <v>345.16550310248078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9.8406766654102908E-22</v>
      </c>
      <c r="BS183" s="24">
        <f t="shared" si="169"/>
        <v>9.8406766654102908E-22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79.099999999999994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20.922876000000002</v>
      </c>
      <c r="D184" s="12">
        <f t="shared" si="140"/>
        <v>6.767887286819807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27.787923859756024</v>
      </c>
      <c r="H184" s="70">
        <f t="shared" si="110"/>
        <v>338.26141272454447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326.70000000000186</v>
      </c>
      <c r="S184" s="62">
        <f ca="1">AVERAGE(OFFSET($R$3,0,0,'Données projet'!$E$9+1,1))-AVERAGE(OFFSET($H$3,0,0,'Données projet'!$E$9+1,1))</f>
        <v>358.51982625142648</v>
      </c>
      <c r="T184" s="62">
        <f t="shared" si="142"/>
        <v>432.55677461330856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2.5930901307613587E-2</v>
      </c>
      <c r="AB184" s="23">
        <f>EXP(-LN(2)/2)*AB183+(1-EXP(-LN(2)/2))/(LN(2)/2)*V184*Y184*VLOOKUP('Données projet'!$B$9,Paramètres!$A$1:$I$89,3,0)*0.475*44/12</f>
        <v>4.7710817935571878E-22</v>
      </c>
      <c r="AC184" s="24">
        <f t="shared" si="163"/>
        <v>2.5930901307613587E-2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264.16738206207805</v>
      </c>
      <c r="AO184" s="62">
        <f t="shared" si="144"/>
        <v>233.21990345647771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4.5584277787015097E-22</v>
      </c>
      <c r="AX184" s="23">
        <f t="shared" si="166"/>
        <v>4.5584277787015097E-22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2.8421709430404007E-14</v>
      </c>
      <c r="BE184" s="14">
        <f>BD184*VLOOKUP('Données projet'!$B$11,Paramètres!$A$1:$I$89,3,0)*VLOOKUP('Données projet'!$B$11,Paramètres!$A$1:$I$89,5,0)</f>
        <v>2.4829205358400945E-14</v>
      </c>
      <c r="BF184" s="14">
        <f t="shared" si="167"/>
        <v>4.3867331143352915E-13</v>
      </c>
      <c r="BG184" s="22">
        <f t="shared" si="168"/>
        <v>8.0726688341261168E-13</v>
      </c>
      <c r="BH184" s="62">
        <f t="shared" si="116"/>
        <v>326.70000000000078</v>
      </c>
      <c r="BI184" s="62">
        <f ca="1">AVERAGE(OFFSET($BH$3,0,0,'Données projet'!$E$11+1,1))-AVERAGE(OFFSET($H$3,0,0,'Données projet'!$E$11+1,1))</f>
        <v>316.00112010575197</v>
      </c>
      <c r="BJ184" s="62">
        <f t="shared" si="146"/>
        <v>345.16550310248078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6.9584092015758387E-22</v>
      </c>
      <c r="BS184" s="24">
        <f t="shared" si="169"/>
        <v>6.9584092015758387E-22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79.099999999999994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21.038472000000002</v>
      </c>
      <c r="D185" s="12">
        <f t="shared" si="140"/>
        <v>6.8009159402114205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27.937070003159533</v>
      </c>
      <c r="H185" s="70">
        <f t="shared" si="110"/>
        <v>338.52026732920154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326.70000000000186</v>
      </c>
      <c r="S185" s="62">
        <f ca="1">AVERAGE(OFFSET($R$3,0,0,'Données projet'!$E$9+1,1))-AVERAGE(OFFSET($H$3,0,0,'Données projet'!$E$9+1,1))</f>
        <v>358.51982625142648</v>
      </c>
      <c r="T185" s="62">
        <f t="shared" si="142"/>
        <v>432.55677461330856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2.5221819447710059E-2</v>
      </c>
      <c r="AB185" s="23">
        <f>EXP(-LN(2)/2)*AB184+(1-EXP(-LN(2)/2))/(LN(2)/2)*V185*Y185*VLOOKUP('Données projet'!$B$9,Paramètres!$A$1:$I$89,3,0)*0.475*44/12</f>
        <v>3.3736642898199632E-22</v>
      </c>
      <c r="AC185" s="24">
        <f t="shared" si="163"/>
        <v>2.5221819447710059E-2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264.16738206207805</v>
      </c>
      <c r="AO185" s="62">
        <f t="shared" si="144"/>
        <v>233.21990345647771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3.2232951938689683E-22</v>
      </c>
      <c r="AX185" s="23">
        <f t="shared" si="166"/>
        <v>3.2232951938689683E-22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2.8421709430404007E-14</v>
      </c>
      <c r="BE185" s="14">
        <f>BD185*VLOOKUP('Données projet'!$B$11,Paramètres!$A$1:$I$89,3,0)*VLOOKUP('Données projet'!$B$11,Paramètres!$A$1:$I$89,5,0)</f>
        <v>2.4829205358400945E-14</v>
      </c>
      <c r="BF185" s="14">
        <f t="shared" si="167"/>
        <v>4.3867331143352915E-13</v>
      </c>
      <c r="BG185" s="22">
        <f t="shared" si="168"/>
        <v>8.0726688341261168E-13</v>
      </c>
      <c r="BH185" s="62">
        <f t="shared" si="116"/>
        <v>326.70000000000078</v>
      </c>
      <c r="BI185" s="62">
        <f ca="1">AVERAGE(OFFSET($BH$3,0,0,'Données projet'!$E$11+1,1))-AVERAGE(OFFSET($H$3,0,0,'Données projet'!$E$11+1,1))</f>
        <v>316.00112010575197</v>
      </c>
      <c r="BJ185" s="62">
        <f t="shared" si="146"/>
        <v>345.16550310248078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4.9203383327051454E-22</v>
      </c>
      <c r="BS185" s="24">
        <f t="shared" si="169"/>
        <v>4.9203383327051454E-22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79.099999999999994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21.154068000000002</v>
      </c>
      <c r="D186" s="12">
        <f t="shared" si="140"/>
        <v>6.8339234764240908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28.086194955288743</v>
      </c>
      <c r="H186" s="70">
        <f t="shared" si="110"/>
        <v>338.77908515477191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326.70000000000186</v>
      </c>
      <c r="S186" s="62">
        <f ca="1">AVERAGE(OFFSET($R$3,0,0,'Données projet'!$E$9+1,1))-AVERAGE(OFFSET($H$3,0,0,'Données projet'!$E$9+1,1))</f>
        <v>358.51982625142648</v>
      </c>
      <c r="T186" s="62">
        <f t="shared" si="142"/>
        <v>432.55677461330856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2.4532127468554588E-2</v>
      </c>
      <c r="AB186" s="23">
        <f>EXP(-LN(2)/2)*AB185+(1-EXP(-LN(2)/2))/(LN(2)/2)*V186*Y186*VLOOKUP('Données projet'!$B$9,Paramètres!$A$1:$I$89,3,0)*0.475*44/12</f>
        <v>2.3855408967785939E-22</v>
      </c>
      <c r="AC186" s="24">
        <f t="shared" si="163"/>
        <v>2.4532127468554588E-2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264.16738206207805</v>
      </c>
      <c r="AO186" s="62">
        <f t="shared" si="144"/>
        <v>233.21990345647771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2.2792138893507548E-22</v>
      </c>
      <c r="AX186" s="23">
        <f t="shared" si="166"/>
        <v>2.2792138893507548E-22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2.8421709430404007E-14</v>
      </c>
      <c r="BE186" s="14">
        <f>BD186*VLOOKUP('Données projet'!$B$11,Paramètres!$A$1:$I$89,3,0)*VLOOKUP('Données projet'!$B$11,Paramètres!$A$1:$I$89,5,0)</f>
        <v>2.4829205358400945E-14</v>
      </c>
      <c r="BF186" s="14">
        <f t="shared" si="167"/>
        <v>4.3867331143352915E-13</v>
      </c>
      <c r="BG186" s="22">
        <f t="shared" si="168"/>
        <v>8.0726688341261168E-13</v>
      </c>
      <c r="BH186" s="62">
        <f t="shared" si="116"/>
        <v>326.70000000000078</v>
      </c>
      <c r="BI186" s="62">
        <f ca="1">AVERAGE(OFFSET($BH$3,0,0,'Données projet'!$E$11+1,1))-AVERAGE(OFFSET($H$3,0,0,'Données projet'!$E$11+1,1))</f>
        <v>316.00112010575197</v>
      </c>
      <c r="BJ186" s="62">
        <f t="shared" si="146"/>
        <v>345.16550310248078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3.4792046007879194E-22</v>
      </c>
      <c r="BS186" s="24">
        <f t="shared" si="169"/>
        <v>3.4792046007879194E-22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79.099999999999994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21.269664000000002</v>
      </c>
      <c r="D187" s="12">
        <f t="shared" si="140"/>
        <v>6.8669100242444712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28.235298845382179</v>
      </c>
      <c r="H187" s="70">
        <f t="shared" si="110"/>
        <v>339.03786642555912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326.70000000000186</v>
      </c>
      <c r="S187" s="62">
        <f ca="1">AVERAGE(OFFSET($R$3,0,0,'Données projet'!$E$9+1,1))-AVERAGE(OFFSET($H$3,0,0,'Données projet'!$E$9+1,1))</f>
        <v>358.51982625142648</v>
      </c>
      <c r="T187" s="62">
        <f t="shared" si="142"/>
        <v>432.55677461330856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2.3861295152838448E-2</v>
      </c>
      <c r="AB187" s="23">
        <f>EXP(-LN(2)/2)*AB186+(1-EXP(-LN(2)/2))/(LN(2)/2)*V187*Y187*VLOOKUP('Données projet'!$B$9,Paramètres!$A$1:$I$89,3,0)*0.475*44/12</f>
        <v>1.6868321449099816E-22</v>
      </c>
      <c r="AC187" s="24">
        <f t="shared" si="163"/>
        <v>2.3861295152838448E-2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264.16738206207805</v>
      </c>
      <c r="AO187" s="62">
        <f t="shared" si="144"/>
        <v>233.21990345647771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1.6116475969344842E-22</v>
      </c>
      <c r="AX187" s="23">
        <f t="shared" si="166"/>
        <v>1.6116475969344842E-22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2.8421709430404007E-14</v>
      </c>
      <c r="BE187" s="14">
        <f>BD187*VLOOKUP('Données projet'!$B$11,Paramètres!$A$1:$I$89,3,0)*VLOOKUP('Données projet'!$B$11,Paramètres!$A$1:$I$89,5,0)</f>
        <v>2.4829205358400945E-14</v>
      </c>
      <c r="BF187" s="14">
        <f t="shared" si="167"/>
        <v>4.3867331143352915E-13</v>
      </c>
      <c r="BG187" s="22">
        <f t="shared" si="168"/>
        <v>8.0726688341261168E-13</v>
      </c>
      <c r="BH187" s="62">
        <f t="shared" si="116"/>
        <v>326.70000000000078</v>
      </c>
      <c r="BI187" s="62">
        <f ca="1">AVERAGE(OFFSET($BH$3,0,0,'Données projet'!$E$11+1,1))-AVERAGE(OFFSET($H$3,0,0,'Données projet'!$E$11+1,1))</f>
        <v>316.00112010575197</v>
      </c>
      <c r="BJ187" s="62">
        <f t="shared" si="146"/>
        <v>345.16550310248078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2.4601691663525727E-22</v>
      </c>
      <c r="BS187" s="24">
        <f t="shared" si="169"/>
        <v>2.4601691663525727E-22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79.099999999999994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21.385260000000002</v>
      </c>
      <c r="D188" s="12">
        <f t="shared" si="140"/>
        <v>6.8998757109783364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28.384381801192301</v>
      </c>
      <c r="H188" s="70">
        <f t="shared" si="110"/>
        <v>339.29661136328724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326.70000000000186</v>
      </c>
      <c r="S188" s="62">
        <f ca="1">AVERAGE(OFFSET($R$3,0,0,'Données projet'!$E$9+1,1))-AVERAGE(OFFSET($H$3,0,0,'Données projet'!$E$9+1,1))</f>
        <v>358.51982625142648</v>
      </c>
      <c r="T188" s="62">
        <f t="shared" si="142"/>
        <v>432.55677461330856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2.3208806782073103E-2</v>
      </c>
      <c r="AB188" s="23">
        <f>EXP(-LN(2)/2)*AB187+(1-EXP(-LN(2)/2))/(LN(2)/2)*V188*Y188*VLOOKUP('Données projet'!$B$9,Paramètres!$A$1:$I$89,3,0)*0.475*44/12</f>
        <v>1.192770448389297E-22</v>
      </c>
      <c r="AC188" s="24">
        <f t="shared" si="163"/>
        <v>2.3208806782073103E-2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264.16738206207805</v>
      </c>
      <c r="AO188" s="62">
        <f t="shared" si="144"/>
        <v>233.21990345647771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1.1396069446753774E-22</v>
      </c>
      <c r="AX188" s="23">
        <f t="shared" si="166"/>
        <v>1.1396069446753774E-22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2.8421709430404007E-14</v>
      </c>
      <c r="BE188" s="14">
        <f>BD188*VLOOKUP('Données projet'!$B$11,Paramètres!$A$1:$I$89,3,0)*VLOOKUP('Données projet'!$B$11,Paramètres!$A$1:$I$89,5,0)</f>
        <v>2.4829205358400945E-14</v>
      </c>
      <c r="BF188" s="14">
        <f t="shared" si="167"/>
        <v>4.3867331143352915E-13</v>
      </c>
      <c r="BG188" s="22">
        <f t="shared" si="168"/>
        <v>8.0726688341261168E-13</v>
      </c>
      <c r="BH188" s="62">
        <f t="shared" si="116"/>
        <v>326.70000000000078</v>
      </c>
      <c r="BI188" s="62">
        <f ca="1">AVERAGE(OFFSET($BH$3,0,0,'Données projet'!$E$11+1,1))-AVERAGE(OFFSET($H$3,0,0,'Données projet'!$E$11+1,1))</f>
        <v>316.00112010575197</v>
      </c>
      <c r="BJ188" s="62">
        <f t="shared" si="146"/>
        <v>345.16550310248078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1.7396023003939597E-22</v>
      </c>
      <c r="BS188" s="24">
        <f t="shared" si="169"/>
        <v>1.7396023003939597E-22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79.099999999999994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21.500856000000002</v>
      </c>
      <c r="D189" s="12">
        <f t="shared" si="140"/>
        <v>6.9328206624755175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28.533443949010522</v>
      </c>
      <c r="H189" s="70">
        <f t="shared" si="110"/>
        <v>339.55532018714484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326.70000000000186</v>
      </c>
      <c r="S189" s="62">
        <f ca="1">AVERAGE(OFFSET($R$3,0,0,'Données projet'!$E$9+1,1))-AVERAGE(OFFSET($H$3,0,0,'Données projet'!$E$9+1,1))</f>
        <v>358.51982625142648</v>
      </c>
      <c r="T189" s="62">
        <f t="shared" si="142"/>
        <v>432.55677461330856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2.2574160740119208E-2</v>
      </c>
      <c r="AB189" s="23">
        <f>EXP(-LN(2)/2)*AB188+(1-EXP(-LN(2)/2))/(LN(2)/2)*V189*Y189*VLOOKUP('Données projet'!$B$9,Paramètres!$A$1:$I$89,3,0)*0.475*44/12</f>
        <v>8.434160724549908E-23</v>
      </c>
      <c r="AC189" s="24">
        <f t="shared" si="163"/>
        <v>2.2574160740119208E-2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264.16738206207805</v>
      </c>
      <c r="AO189" s="62">
        <f t="shared" si="144"/>
        <v>233.21990345647771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8.0582379846724208E-23</v>
      </c>
      <c r="AX189" s="23">
        <f t="shared" si="166"/>
        <v>8.0582379846724208E-23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2.8421709430404007E-14</v>
      </c>
      <c r="BE189" s="14">
        <f>BD189*VLOOKUP('Données projet'!$B$11,Paramètres!$A$1:$I$89,3,0)*VLOOKUP('Données projet'!$B$11,Paramètres!$A$1:$I$89,5,0)</f>
        <v>2.4829205358400945E-14</v>
      </c>
      <c r="BF189" s="14">
        <f t="shared" si="167"/>
        <v>4.3867331143352915E-13</v>
      </c>
      <c r="BG189" s="22">
        <f t="shared" si="168"/>
        <v>8.0726688341261168E-13</v>
      </c>
      <c r="BH189" s="62">
        <f t="shared" si="116"/>
        <v>326.70000000000078</v>
      </c>
      <c r="BI189" s="62">
        <f ca="1">AVERAGE(OFFSET($BH$3,0,0,'Données projet'!$E$11+1,1))-AVERAGE(OFFSET($H$3,0,0,'Données projet'!$E$11+1,1))</f>
        <v>316.00112010575197</v>
      </c>
      <c r="BJ189" s="62">
        <f t="shared" si="146"/>
        <v>345.16550310248078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1.2300845831762863E-22</v>
      </c>
      <c r="BS189" s="24">
        <f t="shared" si="169"/>
        <v>1.2300845831762863E-22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79.099999999999994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21.616452000000002</v>
      </c>
      <c r="D190" s="12">
        <f t="shared" si="140"/>
        <v>6.9657450031542947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28.682485413691683</v>
      </c>
      <c r="H190" s="70">
        <f t="shared" si="110"/>
        <v>339.81399311382705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326.70000000000186</v>
      </c>
      <c r="S190" s="62">
        <f ca="1">AVERAGE(OFFSET($R$3,0,0,'Données projet'!$E$9+1,1))-AVERAGE(OFFSET($H$3,0,0,'Données projet'!$E$9+1,1))</f>
        <v>358.51982625142648</v>
      </c>
      <c r="T190" s="62">
        <f t="shared" si="142"/>
        <v>432.55677461330856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2.1956869127557128E-2</v>
      </c>
      <c r="AB190" s="23">
        <f>EXP(-LN(2)/2)*AB189+(1-EXP(-LN(2)/2))/(LN(2)/2)*V190*Y190*VLOOKUP('Données projet'!$B$9,Paramètres!$A$1:$I$89,3,0)*0.475*44/12</f>
        <v>5.9638522419464848E-23</v>
      </c>
      <c r="AC190" s="24">
        <f t="shared" si="163"/>
        <v>2.1956869127557128E-2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264.16738206207805</v>
      </c>
      <c r="AO190" s="62">
        <f t="shared" si="144"/>
        <v>233.21990345647771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5.6980347233768871E-23</v>
      </c>
      <c r="AX190" s="23">
        <f t="shared" si="166"/>
        <v>5.6980347233768871E-23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2.8421709430404007E-14</v>
      </c>
      <c r="BE190" s="14">
        <f>BD190*VLOOKUP('Données projet'!$B$11,Paramètres!$A$1:$I$89,3,0)*VLOOKUP('Données projet'!$B$11,Paramètres!$A$1:$I$89,5,0)</f>
        <v>2.4829205358400945E-14</v>
      </c>
      <c r="BF190" s="14">
        <f t="shared" si="167"/>
        <v>4.3867331143352915E-13</v>
      </c>
      <c r="BG190" s="22">
        <f t="shared" si="168"/>
        <v>8.0726688341261168E-13</v>
      </c>
      <c r="BH190" s="62">
        <f t="shared" si="116"/>
        <v>326.70000000000078</v>
      </c>
      <c r="BI190" s="62">
        <f ca="1">AVERAGE(OFFSET($BH$3,0,0,'Données projet'!$E$11+1,1))-AVERAGE(OFFSET($H$3,0,0,'Données projet'!$E$11+1,1))</f>
        <v>316.00112010575197</v>
      </c>
      <c r="BJ190" s="62">
        <f t="shared" si="146"/>
        <v>345.16550310248078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8.6980115019697984E-23</v>
      </c>
      <c r="BS190" s="24">
        <f t="shared" si="169"/>
        <v>8.6980115019697984E-23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79.099999999999994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21.732048000000002</v>
      </c>
      <c r="D191" s="12">
        <f t="shared" si="140"/>
        <v>6.9986488560252464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28.83150631867797</v>
      </c>
      <c r="H191" s="70">
        <f t="shared" si="110"/>
        <v>340.07263035757728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326.70000000000186</v>
      </c>
      <c r="S191" s="62">
        <f ca="1">AVERAGE(OFFSET($R$3,0,0,'Données projet'!$E$9+1,1))-AVERAGE(OFFSET($H$3,0,0,'Données projet'!$E$9+1,1))</f>
        <v>358.51982625142648</v>
      </c>
      <c r="T191" s="62">
        <f t="shared" si="142"/>
        <v>432.55677461330856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2.1356457386602513E-2</v>
      </c>
      <c r="AB191" s="23">
        <f>EXP(-LN(2)/2)*AB190+(1-EXP(-LN(2)/2))/(LN(2)/2)*V191*Y191*VLOOKUP('Données projet'!$B$9,Paramètres!$A$1:$I$89,3,0)*0.475*44/12</f>
        <v>4.217080362274954E-23</v>
      </c>
      <c r="AC191" s="24">
        <f t="shared" si="163"/>
        <v>2.1356457386602513E-2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264.16738206207805</v>
      </c>
      <c r="AO191" s="62">
        <f t="shared" si="144"/>
        <v>233.21990345647771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4.0291189923362104E-23</v>
      </c>
      <c r="AX191" s="23">
        <f t="shared" si="166"/>
        <v>4.0291189923362104E-23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2.8421709430404007E-14</v>
      </c>
      <c r="BE191" s="14">
        <f>BD191*VLOOKUP('Données projet'!$B$11,Paramètres!$A$1:$I$89,3,0)*VLOOKUP('Données projet'!$B$11,Paramètres!$A$1:$I$89,5,0)</f>
        <v>2.4829205358400945E-14</v>
      </c>
      <c r="BF191" s="14">
        <f t="shared" si="167"/>
        <v>4.3867331143352915E-13</v>
      </c>
      <c r="BG191" s="22">
        <f t="shared" si="168"/>
        <v>8.0726688341261168E-13</v>
      </c>
      <c r="BH191" s="62">
        <f t="shared" si="116"/>
        <v>326.70000000000078</v>
      </c>
      <c r="BI191" s="62">
        <f ca="1">AVERAGE(OFFSET($BH$3,0,0,'Données projet'!$E$11+1,1))-AVERAGE(OFFSET($H$3,0,0,'Données projet'!$E$11+1,1))</f>
        <v>316.00112010575197</v>
      </c>
      <c r="BJ191" s="62">
        <f t="shared" si="146"/>
        <v>345.16550310248078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6.1504229158814317E-23</v>
      </c>
      <c r="BS191" s="24">
        <f t="shared" si="169"/>
        <v>6.1504229158814317E-23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79.099999999999994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21.847644000000003</v>
      </c>
      <c r="D192" s="12">
        <f t="shared" si="140"/>
        <v>7.0315323427145673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28.980506786022342</v>
      </c>
      <c r="H192" s="70">
        <f t="shared" si="110"/>
        <v>340.33123213022782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326.70000000000186</v>
      </c>
      <c r="S192" s="62">
        <f ca="1">AVERAGE(OFFSET($R$3,0,0,'Données projet'!$E$9+1,1))-AVERAGE(OFFSET($H$3,0,0,'Données projet'!$E$9+1,1))</f>
        <v>358.51982625142648</v>
      </c>
      <c r="T192" s="62">
        <f t="shared" si="142"/>
        <v>432.55677461330856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2.0772463936278584E-2</v>
      </c>
      <c r="AB192" s="23">
        <f>EXP(-LN(2)/2)*AB191+(1-EXP(-LN(2)/2))/(LN(2)/2)*V192*Y192*VLOOKUP('Données projet'!$B$9,Paramètres!$A$1:$I$89,3,0)*0.475*44/12</f>
        <v>2.9819261209732424E-23</v>
      </c>
      <c r="AC192" s="24">
        <f t="shared" si="163"/>
        <v>2.0772463936278584E-2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264.16738206207805</v>
      </c>
      <c r="AO192" s="62">
        <f t="shared" si="144"/>
        <v>233.21990345647771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2.8490173616884436E-23</v>
      </c>
      <c r="AX192" s="23">
        <f t="shared" si="166"/>
        <v>2.8490173616884436E-23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2.8421709430404007E-14</v>
      </c>
      <c r="BE192" s="14">
        <f>BD192*VLOOKUP('Données projet'!$B$11,Paramètres!$A$1:$I$89,3,0)*VLOOKUP('Données projet'!$B$11,Paramètres!$A$1:$I$89,5,0)</f>
        <v>2.4829205358400945E-14</v>
      </c>
      <c r="BF192" s="14">
        <f t="shared" si="167"/>
        <v>4.3867331143352915E-13</v>
      </c>
      <c r="BG192" s="22">
        <f t="shared" si="168"/>
        <v>8.0726688341261168E-13</v>
      </c>
      <c r="BH192" s="62">
        <f t="shared" si="116"/>
        <v>326.70000000000078</v>
      </c>
      <c r="BI192" s="62">
        <f ca="1">AVERAGE(OFFSET($BH$3,0,0,'Données projet'!$E$11+1,1))-AVERAGE(OFFSET($H$3,0,0,'Données projet'!$E$11+1,1))</f>
        <v>316.00112010575197</v>
      </c>
      <c r="BJ192" s="62">
        <f t="shared" si="146"/>
        <v>345.16550310248078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4.3490057509848992E-23</v>
      </c>
      <c r="BS192" s="24">
        <f t="shared" si="169"/>
        <v>4.3490057509848992E-23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79.099999999999994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21.963240000000003</v>
      </c>
      <c r="D193" s="12">
        <f t="shared" si="140"/>
        <v>7.064395583486907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29.129486936411425</v>
      </c>
      <c r="H193" s="70">
        <f t="shared" si="110"/>
        <v>340.58979864123967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326.70000000000186</v>
      </c>
      <c r="S193" s="62">
        <f ca="1">AVERAGE(OFFSET($R$3,0,0,'Données projet'!$E$9+1,1))-AVERAGE(OFFSET($H$3,0,0,'Données projet'!$E$9+1,1))</f>
        <v>358.51982625142648</v>
      </c>
      <c r="T193" s="62">
        <f t="shared" si="142"/>
        <v>432.55677461330856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2.0204439817564642E-2</v>
      </c>
      <c r="AB193" s="23">
        <f>EXP(-LN(2)/2)*AB192+(1-EXP(-LN(2)/2))/(LN(2)/2)*V193*Y193*VLOOKUP('Données projet'!$B$9,Paramètres!$A$1:$I$89,3,0)*0.475*44/12</f>
        <v>2.108540181137477E-23</v>
      </c>
      <c r="AC193" s="24">
        <f t="shared" si="163"/>
        <v>2.0204439817564642E-2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264.16738206207805</v>
      </c>
      <c r="AO193" s="62">
        <f t="shared" si="144"/>
        <v>233.21990345647771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2.0145594961681052E-23</v>
      </c>
      <c r="AX193" s="23">
        <f t="shared" si="166"/>
        <v>2.0145594961681052E-23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2.8421709430404007E-14</v>
      </c>
      <c r="BE193" s="14">
        <f>BD193*VLOOKUP('Données projet'!$B$11,Paramètres!$A$1:$I$89,3,0)*VLOOKUP('Données projet'!$B$11,Paramètres!$A$1:$I$89,5,0)</f>
        <v>2.4829205358400945E-14</v>
      </c>
      <c r="BF193" s="14">
        <f t="shared" si="167"/>
        <v>4.3867331143352915E-13</v>
      </c>
      <c r="BG193" s="22">
        <f t="shared" si="168"/>
        <v>8.0726688341261168E-13</v>
      </c>
      <c r="BH193" s="62">
        <f t="shared" si="116"/>
        <v>326.70000000000078</v>
      </c>
      <c r="BI193" s="62">
        <f ca="1">AVERAGE(OFFSET($BH$3,0,0,'Données projet'!$E$11+1,1))-AVERAGE(OFFSET($H$3,0,0,'Données projet'!$E$11+1,1))</f>
        <v>316.00112010575197</v>
      </c>
      <c r="BJ193" s="62">
        <f t="shared" si="146"/>
        <v>345.16550310248078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3.0752114579407159E-23</v>
      </c>
      <c r="BS193" s="24">
        <f t="shared" si="169"/>
        <v>3.0752114579407159E-23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79.099999999999994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22.078836000000003</v>
      </c>
      <c r="D194" s="12">
        <f t="shared" si="140"/>
        <v>7.0972386972676755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29.278446889187919</v>
      </c>
      <c r="H194" s="70">
        <f t="shared" si="110"/>
        <v>340.84833009774115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326.70000000000186</v>
      </c>
      <c r="S194" s="62">
        <f ca="1">AVERAGE(OFFSET($R$3,0,0,'Données projet'!$E$9+1,1))-AVERAGE(OFFSET($H$3,0,0,'Données projet'!$E$9+1,1))</f>
        <v>358.51982625142648</v>
      </c>
      <c r="T194" s="62">
        <f t="shared" si="142"/>
        <v>432.55677461330856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1.9651948348248023E-2</v>
      </c>
      <c r="AB194" s="23">
        <f>EXP(-LN(2)/2)*AB193+(1-EXP(-LN(2)/2))/(LN(2)/2)*V194*Y194*VLOOKUP('Données projet'!$B$9,Paramètres!$A$1:$I$89,3,0)*0.475*44/12</f>
        <v>1.4909630604866212E-23</v>
      </c>
      <c r="AC194" s="24">
        <f t="shared" si="163"/>
        <v>1.9651948348248023E-2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264.16738206207805</v>
      </c>
      <c r="AO194" s="62">
        <f t="shared" si="144"/>
        <v>233.21990345647771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1.4245086808442218E-23</v>
      </c>
      <c r="AX194" s="23">
        <f t="shared" si="166"/>
        <v>1.4245086808442218E-23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2.8421709430404007E-14</v>
      </c>
      <c r="BE194" s="14">
        <f>BD194*VLOOKUP('Données projet'!$B$11,Paramètres!$A$1:$I$89,3,0)*VLOOKUP('Données projet'!$B$11,Paramètres!$A$1:$I$89,5,0)</f>
        <v>2.4829205358400945E-14</v>
      </c>
      <c r="BF194" s="14">
        <f t="shared" si="167"/>
        <v>4.3867331143352915E-13</v>
      </c>
      <c r="BG194" s="22">
        <f t="shared" si="168"/>
        <v>8.0726688341261168E-13</v>
      </c>
      <c r="BH194" s="62">
        <f t="shared" si="116"/>
        <v>326.70000000000078</v>
      </c>
      <c r="BI194" s="62">
        <f ca="1">AVERAGE(OFFSET($BH$3,0,0,'Données projet'!$E$11+1,1))-AVERAGE(OFFSET($H$3,0,0,'Données projet'!$E$11+1,1))</f>
        <v>316.00112010575197</v>
      </c>
      <c r="BJ194" s="62">
        <f t="shared" si="146"/>
        <v>345.16550310248078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2.1745028754924496E-23</v>
      </c>
      <c r="BS194" s="24">
        <f t="shared" si="169"/>
        <v>2.1745028754924496E-23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79.099999999999994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22.194432000000003</v>
      </c>
      <c r="D195" s="12">
        <f t="shared" si="140"/>
        <v>7.1300618016649029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29.427386762372507</v>
      </c>
      <c r="H195" s="70">
        <f t="shared" si="110"/>
        <v>341.10682670456634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326.70000000000186</v>
      </c>
      <c r="S195" s="62">
        <f ca="1">AVERAGE(OFFSET($R$3,0,0,'Données projet'!$E$9+1,1))-AVERAGE(OFFSET($H$3,0,0,'Données projet'!$E$9+1,1))</f>
        <v>358.51982625142648</v>
      </c>
      <c r="T195" s="62">
        <f t="shared" si="142"/>
        <v>432.55677461330856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1.9114564787214131E-2</v>
      </c>
      <c r="AB195" s="23">
        <f>EXP(-LN(2)/2)*AB194+(1-EXP(-LN(2)/2))/(LN(2)/2)*V195*Y195*VLOOKUP('Données projet'!$B$9,Paramètres!$A$1:$I$89,3,0)*0.475*44/12</f>
        <v>1.0542700905687385E-23</v>
      </c>
      <c r="AC195" s="24">
        <f t="shared" si="163"/>
        <v>1.9114564787214131E-2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264.16738206207805</v>
      </c>
      <c r="AO195" s="62">
        <f t="shared" si="144"/>
        <v>233.21990345647771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1.0072797480840526E-23</v>
      </c>
      <c r="AX195" s="23">
        <f t="shared" si="166"/>
        <v>1.0072797480840526E-23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2.8421709430404007E-14</v>
      </c>
      <c r="BE195" s="14">
        <f>BD195*VLOOKUP('Données projet'!$B$11,Paramètres!$A$1:$I$89,3,0)*VLOOKUP('Données projet'!$B$11,Paramètres!$A$1:$I$89,5,0)</f>
        <v>2.4829205358400945E-14</v>
      </c>
      <c r="BF195" s="14">
        <f t="shared" si="167"/>
        <v>4.3867331143352915E-13</v>
      </c>
      <c r="BG195" s="22">
        <f t="shared" si="168"/>
        <v>8.0726688341261168E-13</v>
      </c>
      <c r="BH195" s="62">
        <f t="shared" si="116"/>
        <v>326.70000000000078</v>
      </c>
      <c r="BI195" s="62">
        <f ca="1">AVERAGE(OFFSET($BH$3,0,0,'Données projet'!$E$11+1,1))-AVERAGE(OFFSET($H$3,0,0,'Données projet'!$E$11+1,1))</f>
        <v>316.00112010575197</v>
      </c>
      <c r="BJ195" s="62">
        <f t="shared" si="146"/>
        <v>345.16550310248078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1.5376057289703579E-23</v>
      </c>
      <c r="BS195" s="24">
        <f t="shared" si="169"/>
        <v>1.5376057289703579E-23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79.099999999999994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22.310028000000003</v>
      </c>
      <c r="D196" s="12">
        <f t="shared" si="140"/>
        <v>7.1628650129906113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29.576306672685323</v>
      </c>
      <c r="H196" s="70">
        <f t="shared" ref="H196:H203" si="192">(B196+E196+F196)*44/12+(C196+D196)*0.475*44/12</f>
        <v>341.36528866429194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326.70000000000186</v>
      </c>
      <c r="S196" s="62">
        <f ca="1">AVERAGE(OFFSET($R$3,0,0,'Données projet'!$E$9+1,1))-AVERAGE(OFFSET($H$3,0,0,'Données projet'!$E$9+1,1))</f>
        <v>358.51982625142648</v>
      </c>
      <c r="T196" s="62">
        <f t="shared" si="142"/>
        <v>432.55677461330856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1.8591876007916487E-2</v>
      </c>
      <c r="AB196" s="23">
        <f>EXP(-LN(2)/2)*AB195+(1-EXP(-LN(2)/2))/(LN(2)/2)*V196*Y196*VLOOKUP('Données projet'!$B$9,Paramètres!$A$1:$I$89,3,0)*0.475*44/12</f>
        <v>7.454815302433106E-24</v>
      </c>
      <c r="AC196" s="24">
        <f t="shared" si="163"/>
        <v>1.8591876007916487E-2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264.16738206207805</v>
      </c>
      <c r="AO196" s="62">
        <f t="shared" si="144"/>
        <v>233.21990345647771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7.1225434042211089E-24</v>
      </c>
      <c r="AX196" s="23">
        <f t="shared" si="166"/>
        <v>7.1225434042211089E-24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2.8421709430404007E-14</v>
      </c>
      <c r="BE196" s="14">
        <f>BD196*VLOOKUP('Données projet'!$B$11,Paramètres!$A$1:$I$89,3,0)*VLOOKUP('Données projet'!$B$11,Paramètres!$A$1:$I$89,5,0)</f>
        <v>2.4829205358400945E-14</v>
      </c>
      <c r="BF196" s="14">
        <f t="shared" si="167"/>
        <v>4.3867331143352915E-13</v>
      </c>
      <c r="BG196" s="22">
        <f t="shared" si="168"/>
        <v>8.0726688341261168E-13</v>
      </c>
      <c r="BH196" s="62">
        <f t="shared" ref="BH196:BH203" si="194">BG196+(AY196+AZ196)*44/12</f>
        <v>326.70000000000078</v>
      </c>
      <c r="BI196" s="62">
        <f ca="1">AVERAGE(OFFSET($BH$3,0,0,'Données projet'!$E$11+1,1))-AVERAGE(OFFSET($H$3,0,0,'Données projet'!$E$11+1,1))</f>
        <v>316.00112010575197</v>
      </c>
      <c r="BJ196" s="62">
        <f t="shared" si="146"/>
        <v>345.16550310248078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1.0872514377462248E-23</v>
      </c>
      <c r="BS196" s="24">
        <f t="shared" si="169"/>
        <v>1.0872514377462248E-23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79.099999999999994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22.425624000000003</v>
      </c>
      <c r="D197" s="12">
        <f t="shared" ref="D197:D203" si="202">IFERROR(EXP(-1.0587+0.8836*LN(C197)+0.284),0)</f>
        <v>7.1956484462817398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29.725206735566942</v>
      </c>
      <c r="H197" s="70">
        <f t="shared" si="192"/>
        <v>341.62371617727399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326.70000000000186</v>
      </c>
      <c r="S197" s="62">
        <f ca="1">AVERAGE(OFFSET($R$3,0,0,'Données projet'!$E$9+1,1))-AVERAGE(OFFSET($H$3,0,0,'Données projet'!$E$9+1,1))</f>
        <v>358.51982625142648</v>
      </c>
      <c r="T197" s="62">
        <f t="shared" ref="T197:T203" si="204">$T$3</f>
        <v>432.55677461330856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1.8083480180775744E-2</v>
      </c>
      <c r="AB197" s="23">
        <f>EXP(-LN(2)/2)*AB196+(1-EXP(-LN(2)/2))/(LN(2)/2)*V197*Y197*VLOOKUP('Données projet'!$B$9,Paramètres!$A$1:$I$89,3,0)*0.475*44/12</f>
        <v>5.2713504528436925E-24</v>
      </c>
      <c r="AC197" s="24">
        <f t="shared" si="163"/>
        <v>1.8083480180775744E-2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264.16738206207805</v>
      </c>
      <c r="AO197" s="62">
        <f t="shared" ref="AO197:AO203" si="205">$AO$3</f>
        <v>233.21990345647771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5.036398740420263E-24</v>
      </c>
      <c r="AX197" s="23">
        <f t="shared" si="166"/>
        <v>5.036398740420263E-24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2.8421709430404007E-14</v>
      </c>
      <c r="BE197" s="14">
        <f>BD197*VLOOKUP('Données projet'!$B$11,Paramètres!$A$1:$I$89,3,0)*VLOOKUP('Données projet'!$B$11,Paramètres!$A$1:$I$89,5,0)</f>
        <v>2.4829205358400945E-14</v>
      </c>
      <c r="BF197" s="14">
        <f t="shared" si="167"/>
        <v>4.3867331143352915E-13</v>
      </c>
      <c r="BG197" s="22">
        <f t="shared" si="168"/>
        <v>8.0726688341261168E-13</v>
      </c>
      <c r="BH197" s="62">
        <f t="shared" si="194"/>
        <v>326.70000000000078</v>
      </c>
      <c r="BI197" s="62">
        <f ca="1">AVERAGE(OFFSET($BH$3,0,0,'Données projet'!$E$11+1,1))-AVERAGE(OFFSET($H$3,0,0,'Données projet'!$E$11+1,1))</f>
        <v>316.00112010575197</v>
      </c>
      <c r="BJ197" s="62">
        <f t="shared" ref="BJ197:BJ203" si="206">$BJ$3</f>
        <v>345.16550310248078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7.6880286448517897E-24</v>
      </c>
      <c r="BS197" s="24">
        <f t="shared" si="169"/>
        <v>7.6880286448517897E-24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79.099999999999994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22.541220000000003</v>
      </c>
      <c r="D198" s="12">
        <f t="shared" si="202"/>
        <v>7.2284122153206045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29.874087065198932</v>
      </c>
      <c r="H198" s="70">
        <f t="shared" si="192"/>
        <v>341.88210944168338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326.70000000000186</v>
      </c>
      <c r="S198" s="62">
        <f ca="1">AVERAGE(OFFSET($R$3,0,0,'Données projet'!$E$9+1,1))-AVERAGE(OFFSET($H$3,0,0,'Données projet'!$E$9+1,1))</f>
        <v>358.51982625142648</v>
      </c>
      <c r="T198" s="62">
        <f t="shared" si="204"/>
        <v>432.55677461330856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1.7588986464263538E-2</v>
      </c>
      <c r="AB198" s="23">
        <f>EXP(-LN(2)/2)*AB197+(1-EXP(-LN(2)/2))/(LN(2)/2)*V198*Y198*VLOOKUP('Données projet'!$B$9,Paramètres!$A$1:$I$89,3,0)*0.475*44/12</f>
        <v>3.727407651216553E-24</v>
      </c>
      <c r="AC198" s="24">
        <f t="shared" si="163"/>
        <v>1.7588986464263538E-2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264.16738206207805</v>
      </c>
      <c r="AO198" s="62">
        <f t="shared" si="205"/>
        <v>233.21990345647771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3.5612717021105544E-24</v>
      </c>
      <c r="AX198" s="23">
        <f t="shared" si="166"/>
        <v>3.5612717021105544E-24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2.8421709430404007E-14</v>
      </c>
      <c r="BE198" s="14">
        <f>BD198*VLOOKUP('Données projet'!$B$11,Paramètres!$A$1:$I$89,3,0)*VLOOKUP('Données projet'!$B$11,Paramètres!$A$1:$I$89,5,0)</f>
        <v>2.4829205358400945E-14</v>
      </c>
      <c r="BF198" s="14">
        <f t="shared" si="167"/>
        <v>4.3867331143352915E-13</v>
      </c>
      <c r="BG198" s="22">
        <f t="shared" si="168"/>
        <v>8.0726688341261168E-13</v>
      </c>
      <c r="BH198" s="62">
        <f t="shared" si="194"/>
        <v>326.70000000000078</v>
      </c>
      <c r="BI198" s="62">
        <f ca="1">AVERAGE(OFFSET($BH$3,0,0,'Données projet'!$E$11+1,1))-AVERAGE(OFFSET($H$3,0,0,'Données projet'!$E$11+1,1))</f>
        <v>316.00112010575197</v>
      </c>
      <c r="BJ198" s="62">
        <f t="shared" si="206"/>
        <v>345.16550310248078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5.436257188731124E-24</v>
      </c>
      <c r="BS198" s="24">
        <f t="shared" si="169"/>
        <v>5.436257188731124E-24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79.099999999999994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22.656816000000003</v>
      </c>
      <c r="D199" s="12">
        <f t="shared" si="202"/>
        <v>7.2611564326549747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30.022947774523946</v>
      </c>
      <c r="H199" s="70">
        <f t="shared" si="192"/>
        <v>342.14046865354072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326.70000000000186</v>
      </c>
      <c r="S199" s="62">
        <f ca="1">AVERAGE(OFFSET($R$3,0,0,'Données projet'!$E$9+1,1))-AVERAGE(OFFSET($H$3,0,0,'Données projet'!$E$9+1,1))</f>
        <v>358.51982625142648</v>
      </c>
      <c r="T199" s="62">
        <f t="shared" si="204"/>
        <v>432.55677461330856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1.7108014704433655E-2</v>
      </c>
      <c r="AB199" s="23">
        <f>EXP(-LN(2)/2)*AB198+(1-EXP(-LN(2)/2))/(LN(2)/2)*V199*Y199*VLOOKUP('Données projet'!$B$9,Paramètres!$A$1:$I$89,3,0)*0.475*44/12</f>
        <v>2.6356752264218463E-24</v>
      </c>
      <c r="AC199" s="24">
        <f t="shared" si="163"/>
        <v>1.7108014704433655E-2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264.16738206207805</v>
      </c>
      <c r="AO199" s="62">
        <f t="shared" si="205"/>
        <v>233.21990345647771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2.5181993702101315E-24</v>
      </c>
      <c r="AX199" s="23">
        <f t="shared" si="166"/>
        <v>2.5181993702101315E-24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2.8421709430404007E-14</v>
      </c>
      <c r="BE199" s="14">
        <f>BD199*VLOOKUP('Données projet'!$B$11,Paramètres!$A$1:$I$89,3,0)*VLOOKUP('Données projet'!$B$11,Paramètres!$A$1:$I$89,5,0)</f>
        <v>2.4829205358400945E-14</v>
      </c>
      <c r="BF199" s="14">
        <f t="shared" si="167"/>
        <v>4.3867331143352915E-13</v>
      </c>
      <c r="BG199" s="22">
        <f t="shared" si="168"/>
        <v>8.0726688341261168E-13</v>
      </c>
      <c r="BH199" s="62">
        <f t="shared" si="194"/>
        <v>326.70000000000078</v>
      </c>
      <c r="BI199" s="62">
        <f ca="1">AVERAGE(OFFSET($BH$3,0,0,'Données projet'!$E$11+1,1))-AVERAGE(OFFSET($H$3,0,0,'Données projet'!$E$11+1,1))</f>
        <v>316.00112010575197</v>
      </c>
      <c r="BJ199" s="62">
        <f t="shared" si="206"/>
        <v>345.16550310248078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3.8440143224258948E-24</v>
      </c>
      <c r="BS199" s="24">
        <f t="shared" si="169"/>
        <v>3.8440143224258948E-24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79.099999999999994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22.772412000000003</v>
      </c>
      <c r="D200" s="12">
        <f t="shared" si="202"/>
        <v>7.2938812096176635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30.171788975265454</v>
      </c>
      <c r="H200" s="70">
        <f t="shared" si="192"/>
        <v>342.39879400675073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326.70000000000186</v>
      </c>
      <c r="S200" s="62">
        <f ca="1">AVERAGE(OFFSET($R$3,0,0,'Données projet'!$E$9+1,1))-AVERAGE(OFFSET($H$3,0,0,'Données projet'!$E$9+1,1))</f>
        <v>358.51982625142648</v>
      </c>
      <c r="T200" s="62">
        <f t="shared" si="204"/>
        <v>432.55677461330856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1.6640195142669525E-2</v>
      </c>
      <c r="AB200" s="23">
        <f>EXP(-LN(2)/2)*AB199+(1-EXP(-LN(2)/2))/(LN(2)/2)*V200*Y200*VLOOKUP('Données projet'!$B$9,Paramètres!$A$1:$I$89,3,0)*0.475*44/12</f>
        <v>1.8637038256082765E-24</v>
      </c>
      <c r="AC200" s="24">
        <f t="shared" si="163"/>
        <v>1.6640195142669525E-2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264.16738206207805</v>
      </c>
      <c r="AO200" s="62">
        <f t="shared" si="205"/>
        <v>233.21990345647771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1.7806358510552772E-24</v>
      </c>
      <c r="AX200" s="23">
        <f t="shared" si="166"/>
        <v>1.7806358510552772E-24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2.8421709430404007E-14</v>
      </c>
      <c r="BE200" s="14">
        <f>BD200*VLOOKUP('Données projet'!$B$11,Paramètres!$A$1:$I$89,3,0)*VLOOKUP('Données projet'!$B$11,Paramètres!$A$1:$I$89,5,0)</f>
        <v>2.4829205358400945E-14</v>
      </c>
      <c r="BF200" s="14">
        <f t="shared" si="167"/>
        <v>4.3867331143352915E-13</v>
      </c>
      <c r="BG200" s="22">
        <f t="shared" si="168"/>
        <v>8.0726688341261168E-13</v>
      </c>
      <c r="BH200" s="62">
        <f t="shared" si="194"/>
        <v>326.70000000000078</v>
      </c>
      <c r="BI200" s="62">
        <f ca="1">AVERAGE(OFFSET($BH$3,0,0,'Données projet'!$E$11+1,1))-AVERAGE(OFFSET($H$3,0,0,'Données projet'!$E$11+1,1))</f>
        <v>316.00112010575197</v>
      </c>
      <c r="BJ200" s="62">
        <f t="shared" si="206"/>
        <v>345.16550310248078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2.718128594365562E-24</v>
      </c>
      <c r="BS200" s="24">
        <f t="shared" si="169"/>
        <v>2.718128594365562E-24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79.099999999999994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22.888008000000003</v>
      </c>
      <c r="D201" s="12">
        <f t="shared" si="202"/>
        <v>7.3265866563457624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30.320610777946985</v>
      </c>
      <c r="H201" s="70">
        <f t="shared" si="192"/>
        <v>342.65708569313551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326.70000000000186</v>
      </c>
      <c r="S201" s="62">
        <f ca="1">AVERAGE(OFFSET($R$3,0,0,'Données projet'!$E$9+1,1))-AVERAGE(OFFSET($H$3,0,0,'Données projet'!$E$9+1,1))</f>
        <v>358.51982625142648</v>
      </c>
      <c r="T201" s="62">
        <f t="shared" si="204"/>
        <v>432.55677461330856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1.6185168131423396E-2</v>
      </c>
      <c r="AB201" s="23">
        <f>EXP(-LN(2)/2)*AB200+(1-EXP(-LN(2)/2))/(LN(2)/2)*V201*Y201*VLOOKUP('Données projet'!$B$9,Paramètres!$A$1:$I$89,3,0)*0.475*44/12</f>
        <v>1.3178376132109231E-24</v>
      </c>
      <c r="AC201" s="24">
        <f t="shared" si="163"/>
        <v>1.6185168131423396E-2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264.16738206207805</v>
      </c>
      <c r="AO201" s="62">
        <f t="shared" si="205"/>
        <v>233.21990345647771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1.2590996851050658E-24</v>
      </c>
      <c r="AX201" s="23">
        <f t="shared" si="166"/>
        <v>1.2590996851050658E-24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2.8421709430404007E-14</v>
      </c>
      <c r="BE201" s="14">
        <f>BD201*VLOOKUP('Données projet'!$B$11,Paramètres!$A$1:$I$89,3,0)*VLOOKUP('Données projet'!$B$11,Paramètres!$A$1:$I$89,5,0)</f>
        <v>2.4829205358400945E-14</v>
      </c>
      <c r="BF201" s="14">
        <f t="shared" si="167"/>
        <v>4.3867331143352915E-13</v>
      </c>
      <c r="BG201" s="22">
        <f t="shared" si="168"/>
        <v>8.0726688341261168E-13</v>
      </c>
      <c r="BH201" s="62">
        <f t="shared" si="194"/>
        <v>326.70000000000078</v>
      </c>
      <c r="BI201" s="62">
        <f ca="1">AVERAGE(OFFSET($BH$3,0,0,'Données projet'!$E$11+1,1))-AVERAGE(OFFSET($H$3,0,0,'Données projet'!$E$11+1,1))</f>
        <v>316.00112010575197</v>
      </c>
      <c r="BJ201" s="62">
        <f t="shared" si="206"/>
        <v>345.16550310248078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1.9220071612129474E-24</v>
      </c>
      <c r="BS201" s="24">
        <f t="shared" si="169"/>
        <v>1.9220071612129474E-24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79.099999999999994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23.003604000000003</v>
      </c>
      <c r="D202" s="12">
        <f t="shared" si="202"/>
        <v>7.3592728817994564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30.469413291911035</v>
      </c>
      <c r="H202" s="70">
        <f t="shared" si="192"/>
        <v>342.91534390246738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326.70000000000186</v>
      </c>
      <c r="S202" s="62">
        <f ca="1">AVERAGE(OFFSET($R$3,0,0,'Données projet'!$E$9+1,1))-AVERAGE(OFFSET($H$3,0,0,'Données projet'!$E$9+1,1))</f>
        <v>358.51982625142648</v>
      </c>
      <c r="T202" s="62">
        <f t="shared" si="204"/>
        <v>432.55677461330856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1.5742583857728622E-2</v>
      </c>
      <c r="AB202" s="23">
        <f>EXP(-LN(2)/2)*AB201+(1-EXP(-LN(2)/2))/(LN(2)/2)*V202*Y202*VLOOKUP('Données projet'!$B$9,Paramètres!$A$1:$I$89,3,0)*0.475*44/12</f>
        <v>9.3185191280413824E-25</v>
      </c>
      <c r="AC202" s="24">
        <f t="shared" si="163"/>
        <v>1.5742583857728622E-2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264.16738206207805</v>
      </c>
      <c r="AO202" s="62">
        <f t="shared" si="205"/>
        <v>233.21990345647771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8.9031792552763861E-25</v>
      </c>
      <c r="AX202" s="23">
        <f t="shared" si="166"/>
        <v>8.9031792552763861E-25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2.8421709430404007E-14</v>
      </c>
      <c r="BE202" s="14">
        <f>BD202*VLOOKUP('Données projet'!$B$11,Paramètres!$A$1:$I$89,3,0)*VLOOKUP('Données projet'!$B$11,Paramètres!$A$1:$I$89,5,0)</f>
        <v>2.4829205358400945E-14</v>
      </c>
      <c r="BF202" s="14">
        <f t="shared" si="167"/>
        <v>4.3867331143352915E-13</v>
      </c>
      <c r="BG202" s="22">
        <f t="shared" si="168"/>
        <v>8.0726688341261168E-13</v>
      </c>
      <c r="BH202" s="62">
        <f t="shared" si="194"/>
        <v>326.70000000000078</v>
      </c>
      <c r="BI202" s="62">
        <f ca="1">AVERAGE(OFFSET($BH$3,0,0,'Données projet'!$E$11+1,1))-AVERAGE(OFFSET($H$3,0,0,'Données projet'!$E$11+1,1))</f>
        <v>316.00112010575197</v>
      </c>
      <c r="BJ202" s="62">
        <f t="shared" si="206"/>
        <v>345.16550310248078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1.359064297182781E-24</v>
      </c>
      <c r="BS202" s="24">
        <f t="shared" si="169"/>
        <v>1.359064297182781E-24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79.099999999999994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23.119200000000003</v>
      </c>
      <c r="D203" s="12">
        <f t="shared" si="202"/>
        <v>7.3919399937804364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79.099999999999994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30.618196625337564</v>
      </c>
      <c r="H203" s="70">
        <f t="shared" si="192"/>
        <v>343.1735688225009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326.70000000000186</v>
      </c>
      <c r="S203" s="62">
        <f ca="1">AVERAGE(OFFSET($R$3,0,0,'Données projet'!$E$9+1,1))-AVERAGE(OFFSET($H$3,0,0,'Données projet'!$E$9+1,1))</f>
        <v>358.51982625142648</v>
      </c>
      <c r="T203" s="62">
        <f t="shared" si="204"/>
        <v>432.55677461330856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1.5312102074272528E-2</v>
      </c>
      <c r="AB203" s="23">
        <f>EXP(-LN(2)/2)*AB202+(1-EXP(-LN(2)/2))/(LN(2)/2)*V203*Y203*VLOOKUP('Données projet'!$B$9,Paramètres!$A$1:$I$89,3,0)*0.475*44/12</f>
        <v>6.5891880660546156E-25</v>
      </c>
      <c r="AC203" s="24">
        <f t="shared" si="163"/>
        <v>1.5312102074272528E-2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264.16738206207805</v>
      </c>
      <c r="AO203" s="62">
        <f t="shared" si="205"/>
        <v>233.21990345647771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6.2954984255253288E-25</v>
      </c>
      <c r="AX203" s="23">
        <f t="shared" si="166"/>
        <v>6.2954984255253288E-25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2.8421709430404007E-14</v>
      </c>
      <c r="BE203" s="14">
        <f>BD203*VLOOKUP('Données projet'!$B$11,Paramètres!$A$1:$I$89,3,0)*VLOOKUP('Données projet'!$B$11,Paramètres!$A$1:$I$89,5,0)</f>
        <v>2.4829205358400945E-14</v>
      </c>
      <c r="BF203" s="14">
        <f t="shared" si="167"/>
        <v>4.3867331143352915E-13</v>
      </c>
      <c r="BG203" s="22">
        <f t="shared" si="168"/>
        <v>8.0726688341261168E-13</v>
      </c>
      <c r="BH203" s="62">
        <f t="shared" si="194"/>
        <v>326.70000000000078</v>
      </c>
      <c r="BI203" s="62">
        <f ca="1">AVERAGE(OFFSET($BH$3,0,0,'Données projet'!$E$11+1,1))-AVERAGE(OFFSET($H$3,0,0,'Données projet'!$E$11+1,1))</f>
        <v>316.00112010575197</v>
      </c>
      <c r="BJ203" s="62">
        <f t="shared" si="206"/>
        <v>345.16550310248078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9.6100358060647371E-25</v>
      </c>
      <c r="BS203" s="24">
        <f t="shared" si="169"/>
        <v>9.6100358060647371E-25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79.099999999999994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1.2475727214128975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1.2235261841298362</v>
      </c>
      <c r="BA205" s="88">
        <f>EXP(LN('Données projet'!B88)/'Données projet'!A88)</f>
        <v>1.2765231539157764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S25" sqref="S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1.5696000000000001</v>
      </c>
      <c r="C6" s="156">
        <f ca="1">IF(OR('Données projet'!B9="",'Données projet'!C9="",'Données projet'!C9=0%),0,Calculateur!S3)</f>
        <v>358.51982625142648</v>
      </c>
      <c r="D6" s="156">
        <f>IF(OR('Données projet'!B9="",'Données projet'!C9="",'Données projet'!C9=0%),0,Calculateur!T3)</f>
        <v>432.55677461330856</v>
      </c>
      <c r="E6" s="156">
        <f ca="1">MIN(C6,D6)</f>
        <v>358.51982625142648</v>
      </c>
      <c r="F6" s="156">
        <f ca="1">E6*B6</f>
        <v>562.73271928423901</v>
      </c>
      <c r="G6" s="156">
        <f ca="1">F6*(100%-'Données projet'!$C$24)*(100%-'Données projet'!$C$25)*(100%-'Données projet'!$C$26)*(100%-'Données projet'!$C$27)</f>
        <v>481.13647498802436</v>
      </c>
      <c r="H6" s="157">
        <f>IF(OR('Données projet'!B9="",'Données projet'!C9="",'Données projet'!C9=0%),0,AVERAGE(Calculateur!$AC$3:$AC$33)*B6)</f>
        <v>2.6380297327034166</v>
      </c>
      <c r="I6" s="158">
        <f>H6*(100%-'Données projet'!$C$24)*(100%-'Données projet'!$C$25)*(100%-'Données projet'!$C$26)*(100%-'Données projet'!$C$27)</f>
        <v>2.2555154214614208</v>
      </c>
      <c r="J6" s="159">
        <f>IF(OR('Données projet'!B9="",'Données projet'!C9="",'Données projet'!C9=0%),0,SUM(Calculateur!$V$3:$V$33)*VLOOKUP('Données projet'!$B$9,Paramètres!$A$1:$I$89,9,0)*B6)</f>
        <v>37.795968000000002</v>
      </c>
      <c r="K6" s="160">
        <f>J6*(100%-'Données projet'!$C$24)*(100%-'Données projet'!$C$25)*(100%-'Données projet'!$C$26)*(100%-'Données projet'!$C$27)</f>
        <v>32.31555264</v>
      </c>
      <c r="L6" s="161">
        <f ca="1">G6+I6+K6</f>
        <v>515.70754304948582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Epicéa de Sitka</v>
      </c>
      <c r="B7" s="163">
        <f>'Données projet'!D10</f>
        <v>1.4824000000000002</v>
      </c>
      <c r="C7" s="156">
        <f ca="1">IF(OR('Données projet'!B10="",'Données projet'!C10="",'Données projet'!C10=0%),0,Calculateur!AN3)</f>
        <v>264.16738206207805</v>
      </c>
      <c r="D7" s="156">
        <f>IF(OR('Données projet'!B10="",'Données projet'!C10="",'Données projet'!C10=0%),0,Calculateur!AO3)</f>
        <v>233.21990345647771</v>
      </c>
      <c r="E7" s="156">
        <f t="shared" ref="E7:E15" ca="1" si="0">MIN(C7,D7)</f>
        <v>233.21990345647771</v>
      </c>
      <c r="F7" s="156">
        <f t="shared" ref="F7:F15" ca="1" si="1">E7*B7</f>
        <v>345.7251848838826</v>
      </c>
      <c r="G7" s="156">
        <f ca="1">F7*(100%-'Données projet'!$C$24)*(100%-'Données projet'!$C$25)*(100%-'Données projet'!$C$26)*(100%-'Données projet'!$C$27)</f>
        <v>295.59503307571964</v>
      </c>
      <c r="H7" s="164">
        <f>IF(OR('Données projet'!B10="",'Données projet'!C10="",'Données projet'!C10=0%),0,AVERAGE(Calculateur!$AX$3:$AX$33)*B7)</f>
        <v>6.185599962665866</v>
      </c>
      <c r="I7" s="158">
        <f>H7*(100%-'Données projet'!$C$24)*(100%-'Données projet'!$C$25)*(100%-'Données projet'!$C$26)*(100%-'Données projet'!$C$27)</f>
        <v>5.2886879680793148</v>
      </c>
      <c r="J7" s="159">
        <f>IF(OR('Données projet'!B10="",'Données projet'!C10="",'Données projet'!C10=0%),0,SUM(Calculateur!$AQ$3:$AQ$33)*VLOOKUP('Données projet'!$B$10,Paramètres!$A$1:$I$89,9,0)*B7)</f>
        <v>66.292928000000003</v>
      </c>
      <c r="K7" s="160">
        <f>J7*(100%-'Données projet'!$C$24)*(100%-'Données projet'!$C$25)*(100%-'Données projet'!$C$26)*(100%-'Données projet'!$C$27)</f>
        <v>56.680453440000001</v>
      </c>
      <c r="L7" s="161">
        <f t="shared" ref="L7:L15" ca="1" si="2">G7+I7+K7</f>
        <v>357.56417448379898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1.3080000000000001</v>
      </c>
      <c r="C8" s="156">
        <f ca="1">IF(OR('Données projet'!B11="",'Données projet'!C11="",'Données projet'!C11=0%),0,Calculateur!BI3)</f>
        <v>316.00112010575197</v>
      </c>
      <c r="D8" s="156">
        <f>IF(OR('Données projet'!B11="",'Données projet'!C11="",'Données projet'!C11=0%),0,Calculateur!BJ3)</f>
        <v>345.16550310248078</v>
      </c>
      <c r="E8" s="156">
        <f t="shared" ca="1" si="0"/>
        <v>316.00112010575197</v>
      </c>
      <c r="F8" s="156">
        <f t="shared" ca="1" si="1"/>
        <v>413.32946509832357</v>
      </c>
      <c r="G8" s="156">
        <f ca="1">F8*(100%-'Données projet'!$C$24)*(100%-'Données projet'!$C$25)*(100%-'Données projet'!$C$26)*(100%-'Données projet'!$C$27)</f>
        <v>353.39669265906662</v>
      </c>
      <c r="H8" s="164">
        <f>IF(OR('Données projet'!B11="",'Données projet'!C11="",'Données projet'!C11=0%),0,AVERAGE(Calculateur!$BS$3:$BS$33)*B8)</f>
        <v>10.936974695925912</v>
      </c>
      <c r="I8" s="158">
        <f>H8*(100%-'Données projet'!$C$24)*(100%-'Données projet'!$C$25)*(100%-'Données projet'!$C$26)*(100%-'Données projet'!$C$27)</f>
        <v>9.3511133650166549</v>
      </c>
      <c r="J8" s="159">
        <f>IF(OR('Données projet'!B11="",'Données projet'!C11="",'Données projet'!C11=0%),0,SUM(Calculateur!$BL$3:$BL$33)*VLOOKUP('Données projet'!$B$11,Paramètres!$A$1:$I$89,9,0)*B8)</f>
        <v>40.548000000000002</v>
      </c>
      <c r="K8" s="160">
        <f>J8*(100%-'Données projet'!$C$24)*(100%-'Données projet'!$C$25)*(100%-'Données projet'!$C$26)*(100%-'Données projet'!$C$27)</f>
        <v>34.66854</v>
      </c>
      <c r="L8" s="161">
        <f t="shared" ca="1" si="2"/>
        <v>397.41634602408328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1321.7873692664452</v>
      </c>
      <c r="G16" s="175">
        <f t="shared" ca="1" si="3"/>
        <v>1130.1282007228106</v>
      </c>
      <c r="H16" s="176">
        <f t="shared" si="3"/>
        <v>19.760604391295196</v>
      </c>
      <c r="I16" s="176">
        <f t="shared" si="3"/>
        <v>16.895316754557392</v>
      </c>
      <c r="J16" s="177">
        <f t="shared" si="3"/>
        <v>144.63689600000001</v>
      </c>
      <c r="K16" s="177">
        <f t="shared" si="3"/>
        <v>123.66454608000001</v>
      </c>
      <c r="L16" s="178">
        <f t="shared" ca="1" si="3"/>
        <v>1270.688063557368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Epicéa de Sitka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90" zoomScaleNormal="90" workbookViewId="0">
      <selection activeCell="T29" sqref="T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2877.452930088572</v>
      </c>
      <c r="U10" s="190">
        <f>'Données projet'!D9</f>
        <v>1.5696000000000001</v>
      </c>
      <c r="V10" s="189">
        <f>U10*T10</f>
        <v>4516.4501190670226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Epicéa de Sitka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4979.5818164643642</v>
      </c>
      <c r="U11" s="190">
        <f>'Données projet'!D10</f>
        <v>1.4824000000000002</v>
      </c>
      <c r="V11" s="189">
        <f t="shared" ref="V11" si="0">U11*T11</f>
        <v>7381.7320847267747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726.69450132346856</v>
      </c>
      <c r="U12" s="190">
        <f>'Données projet'!D11</f>
        <v>1.3080000000000001</v>
      </c>
      <c r="V12" s="189">
        <f t="shared" ref="V12:V19" si="1">U12*T12</f>
        <v>950.51640773109693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6.5000000000000009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80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520.00000000000011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3751.125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779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779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23</v>
      </c>
      <c r="B23" s="193">
        <f>'Données projet'!D36</f>
        <v>0</v>
      </c>
      <c r="C23" s="206">
        <v>24</v>
      </c>
      <c r="D23" s="194">
        <f>B23*C23</f>
        <v>0</v>
      </c>
      <c r="E23" s="206"/>
      <c r="F23" s="261"/>
      <c r="H23" s="203">
        <v>3</v>
      </c>
      <c r="I23" s="204">
        <v>779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-13914.144225327336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14</v>
      </c>
      <c r="C24" s="206">
        <v>29</v>
      </c>
      <c r="D24" s="194">
        <f t="shared" ref="D24:D42" si="2">B24*C24</f>
        <v>406</v>
      </c>
      <c r="E24" s="206"/>
      <c r="F24" s="264"/>
      <c r="H24" s="203">
        <v>4</v>
      </c>
      <c r="I24" s="204">
        <v>293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32.630119392276463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42</v>
      </c>
      <c r="C25" s="206">
        <v>40</v>
      </c>
      <c r="D25" s="194">
        <f t="shared" si="2"/>
        <v>1680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-13946.774344719614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49</v>
      </c>
      <c r="C26" s="206">
        <v>53</v>
      </c>
      <c r="D26" s="194">
        <f t="shared" si="2"/>
        <v>2597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58</v>
      </c>
      <c r="C27" s="206">
        <v>60</v>
      </c>
      <c r="D27" s="194">
        <f t="shared" si="2"/>
        <v>3480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57</v>
      </c>
      <c r="C28" s="206">
        <v>68</v>
      </c>
      <c r="D28" s="194">
        <f t="shared" si="2"/>
        <v>3876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42</v>
      </c>
      <c r="C29" s="206">
        <v>72</v>
      </c>
      <c r="D29" s="194">
        <f t="shared" si="2"/>
        <v>3024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37</v>
      </c>
      <c r="C30" s="206">
        <v>82</v>
      </c>
      <c r="D30" s="194">
        <f t="shared" si="2"/>
        <v>3034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567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Epicéa de Sitka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52</v>
      </c>
      <c r="C54" s="204">
        <v>15</v>
      </c>
      <c r="D54" s="191">
        <f>B54*C54</f>
        <v>780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29</v>
      </c>
      <c r="B55" s="193">
        <f>'Données projet'!D63</f>
        <v>52</v>
      </c>
      <c r="C55" s="204">
        <v>25</v>
      </c>
      <c r="D55" s="191">
        <f t="shared" ref="D55:D73" si="4">B55*C55</f>
        <v>1300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34</v>
      </c>
      <c r="B56" s="193">
        <f>'Données projet'!D64</f>
        <v>65</v>
      </c>
      <c r="C56" s="204">
        <v>32</v>
      </c>
      <c r="D56" s="191">
        <f t="shared" si="4"/>
        <v>2080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39</v>
      </c>
      <c r="B57" s="193">
        <f>'Données projet'!D65</f>
        <v>70</v>
      </c>
      <c r="C57" s="204">
        <v>40</v>
      </c>
      <c r="D57" s="191">
        <f t="shared" si="4"/>
        <v>2800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44</v>
      </c>
      <c r="B58" s="193">
        <f>'Données projet'!D66</f>
        <v>53</v>
      </c>
      <c r="C58" s="204">
        <v>46</v>
      </c>
      <c r="D58" s="191">
        <f t="shared" si="4"/>
        <v>2438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55</v>
      </c>
      <c r="C59" s="204">
        <v>50</v>
      </c>
      <c r="D59" s="191">
        <f t="shared" si="4"/>
        <v>2750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662</v>
      </c>
      <c r="C60" s="204">
        <v>55</v>
      </c>
      <c r="D60" s="191">
        <f t="shared" si="4"/>
        <v>36410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50</v>
      </c>
      <c r="C85" s="204">
        <v>0.5</v>
      </c>
      <c r="D85" s="191">
        <f>B85*C85</f>
        <v>25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37</v>
      </c>
      <c r="C86" s="204">
        <v>0.5</v>
      </c>
      <c r="D86" s="191">
        <f t="shared" ref="D86:D104" si="6">B86*C86</f>
        <v>18.5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37</v>
      </c>
      <c r="C87" s="204">
        <v>6</v>
      </c>
      <c r="D87" s="191">
        <f t="shared" si="6"/>
        <v>222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36</v>
      </c>
      <c r="C88" s="204">
        <v>6</v>
      </c>
      <c r="D88" s="191">
        <f t="shared" si="6"/>
        <v>216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33</v>
      </c>
      <c r="C89" s="204">
        <v>8</v>
      </c>
      <c r="D89" s="191">
        <f t="shared" si="6"/>
        <v>264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31</v>
      </c>
      <c r="C90" s="204">
        <v>12.5</v>
      </c>
      <c r="D90" s="191">
        <f t="shared" si="6"/>
        <v>387.5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str">
        <f>IF(O89+1&lt;=MIN('Données projet'!$E$9:$E$18),O89+1,"STOP")</f>
        <v>STOP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25</v>
      </c>
      <c r="C92" s="204">
        <v>21</v>
      </c>
      <c r="D92" s="191">
        <f t="shared" si="6"/>
        <v>525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22</v>
      </c>
      <c r="C93" s="204">
        <v>34</v>
      </c>
      <c r="D93" s="191">
        <f t="shared" si="6"/>
        <v>748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20</v>
      </c>
      <c r="C94" s="204">
        <v>39</v>
      </c>
      <c r="D94" s="191">
        <f t="shared" si="6"/>
        <v>780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17</v>
      </c>
      <c r="C95" s="204">
        <v>45</v>
      </c>
      <c r="D95" s="191">
        <f t="shared" si="6"/>
        <v>765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15</v>
      </c>
      <c r="C96" s="204">
        <v>45</v>
      </c>
      <c r="D96" s="191">
        <f t="shared" si="6"/>
        <v>675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13</v>
      </c>
      <c r="C97" s="204">
        <v>45</v>
      </c>
      <c r="D97" s="191">
        <f t="shared" si="6"/>
        <v>585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12</v>
      </c>
      <c r="C98" s="204">
        <v>45</v>
      </c>
      <c r="D98" s="191">
        <f t="shared" si="6"/>
        <v>540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236</v>
      </c>
      <c r="C99" s="204">
        <v>50</v>
      </c>
      <c r="D99" s="191">
        <f t="shared" si="6"/>
        <v>11800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2023-02-10T13:37:00Z</dcterms:modified>
</cp:coreProperties>
</file>