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DLB\BEAUMONT PIED DE BOEUF (72) -  BON\Boisement TA\Doc fin\"/>
    </mc:Choice>
  </mc:AlternateContent>
  <xr:revisionPtr revIDLastSave="0" documentId="13_ncr:1_{BF0DD7C1-097E-463E-91F3-17BA8C4CE51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REE" sheetId="4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<sst xmlns="http://schemas.openxmlformats.org/spreadsheetml/2006/main" count="1172" uniqueCount="324">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</sst>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1.7837535569220362</c:v>
                </c:pt>
                <c:pt idx="2">
                  <c:v>2.1890531315331625</c:v>
                </c:pt>
                <c:pt idx="3">
                  <c:v>2.6868018319724469</c:v>
                </c:pt>
                <c:pt idx="4">
                  <c:v>3.2981646185733648</c:v>
                </c:pt>
                <c:pt idx="5">
                  <c:v>4.0491684796570855</c:v>
                </c:pt>
                <c:pt idx="6">
                  <c:v>4.9718228940185938</c:v>
                </c:pt>
                <c:pt idx="7">
                  <c:v>6.1054992643049744</c:v>
                </c:pt>
                <c:pt idx="8">
                  <c:v>7.498629338181428</c:v>
                </c:pt>
                <c:pt idx="9">
                  <c:v>9.2107965774006217</c:v>
                </c:pt>
                <c:pt idx="10">
                  <c:v>11.315311624658721</c:v>
                </c:pt>
                <c:pt idx="11">
                  <c:v>13.902384211891608</c:v>
                </c:pt>
                <c:pt idx="12">
                  <c:v>17.083029985936538</c:v>
                </c:pt>
                <c:pt idx="13">
                  <c:v>20.993882951249116</c:v>
                </c:pt>
                <c:pt idx="14">
                  <c:v>25.803123967275425</c:v>
                </c:pt>
                <c:pt idx="15">
                  <c:v>31.717784745611407</c:v>
                </c:pt>
                <c:pt idx="16">
                  <c:v>38.992747235525364</c:v>
                </c:pt>
                <c:pt idx="17">
                  <c:v>47.941832839153214</c:v>
                </c:pt>
                <c:pt idx="18">
                  <c:v>58.951467859045977</c:v>
                </c:pt>
                <c:pt idx="19">
                  <c:v>72.497525022851008</c:v>
                </c:pt>
                <c:pt idx="20">
                  <c:v>89.166080878827913</c:v>
                </c:pt>
                <c:pt idx="21">
                  <c:v>109.67900151552313</c:v>
                </c:pt>
                <c:pt idx="22">
                  <c:v>134.92548208731571</c:v>
                </c:pt>
                <c:pt idx="23">
                  <c:v>166.00092847824487</c:v>
                </c:pt>
                <c:pt idx="24">
                  <c:v>204.2548937800772</c:v>
                </c:pt>
                <c:pt idx="25">
                  <c:v>251.35018250509077</c:v>
                </c:pt>
                <c:pt idx="26">
                  <c:v>257.59892706580973</c:v>
                </c:pt>
                <c:pt idx="27">
                  <c:v>280.64223231927366</c:v>
                </c:pt>
                <c:pt idx="28">
                  <c:v>303.64312460343194</c:v>
                </c:pt>
                <c:pt idx="29">
                  <c:v>326.60526674391014</c:v>
                </c:pt>
                <c:pt idx="30">
                  <c:v>349.53176450400838</c:v>
                </c:pt>
                <c:pt idx="31">
                  <c:v>327.32224444482722</c:v>
                </c:pt>
                <c:pt idx="32">
                  <c:v>355.25814018336717</c:v>
                </c:pt>
                <c:pt idx="33">
                  <c:v>383.14593330983166</c:v>
                </c:pt>
                <c:pt idx="34">
                  <c:v>410.98961362312235</c:v>
                </c:pt>
                <c:pt idx="35">
                  <c:v>438.79258651750848</c:v>
                </c:pt>
                <c:pt idx="36">
                  <c:v>406.94655346348719</c:v>
                </c:pt>
                <c:pt idx="37">
                  <c:v>433.33011407671546</c:v>
                </c:pt>
                <c:pt idx="38">
                  <c:v>459.6791925843832</c:v>
                </c:pt>
                <c:pt idx="39">
                  <c:v>485.99604123882409</c:v>
                </c:pt>
                <c:pt idx="40">
                  <c:v>512.28264869987129</c:v>
                </c:pt>
                <c:pt idx="41">
                  <c:v>468.21781705558993</c:v>
                </c:pt>
                <c:pt idx="42">
                  <c:v>492.86655646748187</c:v>
                </c:pt>
                <c:pt idx="43">
                  <c:v>517.48917336073771</c:v>
                </c:pt>
                <c:pt idx="44">
                  <c:v>542.08708413305317</c:v>
                </c:pt>
                <c:pt idx="45">
                  <c:v>566.66156628829003</c:v>
                </c:pt>
                <c:pt idx="46">
                  <c:v>520.56523587504478</c:v>
                </c:pt>
                <c:pt idx="47">
                  <c:v>541.85067926084866</c:v>
                </c:pt>
                <c:pt idx="48">
                  <c:v>563.11857029884015</c:v>
                </c:pt>
                <c:pt idx="49">
                  <c:v>584.36966457807455</c:v>
                </c:pt>
                <c:pt idx="50">
                  <c:v>605.60465830262285</c:v>
                </c:pt>
                <c:pt idx="51">
                  <c:v>572.09326180532764</c:v>
                </c:pt>
                <c:pt idx="52">
                  <c:v>588.14593218796972</c:v>
                </c:pt>
                <c:pt idx="53">
                  <c:v>604.18947979642792</c:v>
                </c:pt>
                <c:pt idx="54">
                  <c:v>620.22418084313779</c:v>
                </c:pt>
                <c:pt idx="55">
                  <c:v>636.25029610351078</c:v>
                </c:pt>
                <c:pt idx="56">
                  <c:v>605.13293977416163</c:v>
                </c:pt>
                <c:pt idx="57">
                  <c:v>617.6309209166335</c:v>
                </c:pt>
                <c:pt idx="58">
                  <c:v>630.12366160545764</c:v>
                </c:pt>
                <c:pt idx="59">
                  <c:v>642.61128033745115</c:v>
                </c:pt>
                <c:pt idx="60">
                  <c:v>655.0938906304458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autoPageBreaks="0"/>
  </sheetPr>
  <dimension ref="A1:AS427"/>
  <sheetViews>
    <sheetView zoomScale="90" zoomScaleNormal="90" workbookViewId="0">
      <selection activeCell="H25" sqref="H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0.7</v>
      </c>
      <c r="D9" s="36">
        <f t="shared" ref="D9:D18" si="0">C9*$C$5</f>
        <v>6.9929999999999994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0.25</v>
      </c>
      <c r="D10" s="36">
        <f t="shared" si="0"/>
        <v>2.4975000000000001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0.05</v>
      </c>
      <c r="D11" s="36">
        <f t="shared" si="0"/>
        <v>0.49950000000000006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9.9899999999999984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/>
      <c r="F37" s="54">
        <v>0.2</v>
      </c>
      <c r="G37" s="54">
        <v>0.8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>
        <v>0.4</v>
      </c>
      <c r="F38" s="54">
        <v>0.2</v>
      </c>
      <c r="G38" s="54">
        <v>0.4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>
        <v>1</v>
      </c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/>
      <c r="G63" s="54">
        <v>1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204</v>
      </c>
      <c r="C88" s="63">
        <v>1</v>
      </c>
      <c r="D88" s="63">
        <v>14</v>
      </c>
      <c r="E88" s="54"/>
      <c r="F88" s="54">
        <v>0.5</v>
      </c>
      <c r="G88" s="54">
        <v>0.5</v>
      </c>
      <c r="H88" s="93"/>
      <c r="I88" s="56">
        <f>IFERROR(B88/A88,"")</f>
        <v>8.16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286</v>
      </c>
      <c r="C89" s="63">
        <v>2</v>
      </c>
      <c r="D89" s="63">
        <v>42</v>
      </c>
      <c r="E89" s="54">
        <v>0.2</v>
      </c>
      <c r="F89" s="54">
        <v>0.4</v>
      </c>
      <c r="G89" s="54">
        <v>0.4</v>
      </c>
      <c r="H89" s="93"/>
      <c r="I89" s="56">
        <f t="shared" ref="I89:I107" si="3">IF(A89&lt;&gt;0,(B89-(B88-D88))/(A89-A88),"")</f>
        <v>19.2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361</v>
      </c>
      <c r="C90" s="63">
        <v>3</v>
      </c>
      <c r="D90" s="63">
        <v>49</v>
      </c>
      <c r="E90" s="93">
        <v>0.4</v>
      </c>
      <c r="F90" s="93">
        <v>0.3</v>
      </c>
      <c r="G90" s="93">
        <v>0.3</v>
      </c>
      <c r="H90" s="93"/>
      <c r="I90" s="56">
        <f t="shared" si="3"/>
        <v>23.4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423</v>
      </c>
      <c r="C91" s="63">
        <v>4</v>
      </c>
      <c r="D91" s="63">
        <v>58</v>
      </c>
      <c r="E91" s="93"/>
      <c r="F91" s="93"/>
      <c r="G91" s="93"/>
      <c r="H91" s="93"/>
      <c r="I91" s="56">
        <f t="shared" si="3"/>
        <v>22.2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469</v>
      </c>
      <c r="C92" s="63">
        <v>5</v>
      </c>
      <c r="D92" s="63">
        <v>57</v>
      </c>
      <c r="E92" s="93"/>
      <c r="F92" s="93"/>
      <c r="G92" s="93"/>
      <c r="H92" s="93"/>
      <c r="I92" s="56">
        <f t="shared" si="3"/>
        <v>20.8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502</v>
      </c>
      <c r="C93" s="63">
        <v>6</v>
      </c>
      <c r="D93" s="63">
        <v>42</v>
      </c>
      <c r="E93" s="93"/>
      <c r="F93" s="93"/>
      <c r="G93" s="93"/>
      <c r="H93" s="93"/>
      <c r="I93" s="56">
        <f t="shared" si="3"/>
        <v>18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528</v>
      </c>
      <c r="C94" s="63">
        <v>7</v>
      </c>
      <c r="D94" s="63">
        <v>37</v>
      </c>
      <c r="E94" s="93"/>
      <c r="F94" s="93"/>
      <c r="G94" s="93"/>
      <c r="H94" s="93"/>
      <c r="I94" s="56">
        <f t="shared" si="3"/>
        <v>13.6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544</v>
      </c>
      <c r="C95" s="63">
        <v>8</v>
      </c>
      <c r="D95" s="63">
        <v>544</v>
      </c>
      <c r="E95" s="93"/>
      <c r="F95" s="93"/>
      <c r="G95" s="93"/>
      <c r="H95" s="93"/>
      <c r="I95" s="56">
        <f t="shared" si="3"/>
        <v>10.6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autoPageBreaks="0"/>
  </sheetPr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autoPageBreaks="0"/>
  </sheetPr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6.9929999999999994</v>
      </c>
      <c r="C6" s="156">
        <f ca="1">IF(OR('Données projet'!B9="",'Données projet'!C9="",'Données projet'!C9=0%),0,Calculateur!S3)</f>
        <v>314.1401276393035</v>
      </c>
      <c r="D6" s="156">
        <f>IF(OR('Données projet'!B9="",'Données projet'!C9="",'Données projet'!C9=0%),0,Calculateur!T3)</f>
        <v>243.75878492878178</v>
      </c>
      <c r="E6" s="156">
        <f ca="1">MIN(C6,D6)</f>
        <v>243.75878492878178</v>
      </c>
      <c r="F6" s="156">
        <f ca="1">E6*B6</f>
        <v>1704.6051830069709</v>
      </c>
      <c r="G6" s="156">
        <f ca="1">F6*(100%-'Données projet'!$C$24)*(100%-'Données projet'!$C$25)*(100%-'Données projet'!$C$26)*(100%-'Données projet'!$C$27)</f>
        <v>1457.4374314709603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1457.4374314709603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2.4975000000000001</v>
      </c>
      <c r="C7" s="156">
        <f ca="1">IF(OR('Données projet'!B10="",'Données projet'!C10="",'Données projet'!C10=0%),0,Calculateur!AN3)</f>
        <v>272.85581758101404</v>
      </c>
      <c r="D7" s="156">
        <f>IF(OR('Données projet'!B10="",'Données projet'!C10="",'Données projet'!C10=0%),0,Calculateur!AO3)</f>
        <v>180.73985910201225</v>
      </c>
      <c r="E7" s="156">
        <f t="shared" ref="E7:E15" ca="1" si="0">MIN(C7,D7)</f>
        <v>180.73985910201225</v>
      </c>
      <c r="F7" s="156">
        <f t="shared" ref="F7:F15" ca="1" si="1">E7*B7</f>
        <v>451.39779810727561</v>
      </c>
      <c r="G7" s="156">
        <f ca="1">F7*(100%-'Données projet'!$C$24)*(100%-'Données projet'!$C$25)*(100%-'Données projet'!$C$26)*(100%-'Données projet'!$C$27)</f>
        <v>385.94511738172065</v>
      </c>
      <c r="H7" s="164">
        <f>IF(OR('Données projet'!B10="",'Données projet'!C10="",'Données projet'!C10=0%),0,AVERAGE(Calculateur!$AX$3:$AX$33)*B7)</f>
        <v>3.0881056068763795</v>
      </c>
      <c r="I7" s="158">
        <f>H7*(100%-'Données projet'!$C$24)*(100%-'Données projet'!$C$25)*(100%-'Données projet'!$C$26)*(100%-'Données projet'!$C$27)</f>
        <v>2.6403302938793045</v>
      </c>
      <c r="J7" s="159">
        <f>IF(OR('Données projet'!B10="",'Données projet'!C10="",'Données projet'!C10=0%),0,SUM(Calculateur!$AQ$3:$AQ$33)*VLOOKUP('Données projet'!$B$10,Paramètres!$A$1:$I$89,9,0)*B7)</f>
        <v>18.106874999999999</v>
      </c>
      <c r="K7" s="160">
        <f>J7*(100%-'Données projet'!$C$24)*(100%-'Données projet'!$C$25)*(100%-'Données projet'!$C$26)*(100%-'Données projet'!$C$27)</f>
        <v>15.481378124999997</v>
      </c>
      <c r="L7" s="161">
        <f t="shared" ref="L7:L15" ca="1" si="2">G7+I7+K7</f>
        <v>404.06682580059993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0.49950000000000006</v>
      </c>
      <c r="C8" s="156">
        <f ca="1">IF(OR('Données projet'!B11="",'Données projet'!C11="",'Données projet'!C11=0%),0,Calculateur!BI3)</f>
        <v>282.598842734946</v>
      </c>
      <c r="D8" s="156">
        <f>IF(OR('Données projet'!B11="",'Données projet'!C11="",'Données projet'!C11=0%),0,Calculateur!BJ3)</f>
        <v>335.56869428808034</v>
      </c>
      <c r="E8" s="156">
        <f t="shared" ca="1" si="0"/>
        <v>282.598842734946</v>
      </c>
      <c r="F8" s="156">
        <f t="shared" ca="1" si="1"/>
        <v>141.15812194610555</v>
      </c>
      <c r="G8" s="156">
        <f ca="1">F8*(100%-'Données projet'!$C$24)*(100%-'Données projet'!$C$25)*(100%-'Données projet'!$C$26)*(100%-'Données projet'!$C$27)</f>
        <v>120.69019426392025</v>
      </c>
      <c r="H8" s="164">
        <f>IF(OR('Données projet'!B11="",'Données projet'!C11="",'Données projet'!C11=0%),0,AVERAGE(Calculateur!$BS$3:$BS$33)*B8)</f>
        <v>0.80656550959991757</v>
      </c>
      <c r="I8" s="158">
        <f>H8*(100%-'Données projet'!$C$24)*(100%-'Données projet'!$C$25)*(100%-'Données projet'!$C$26)*(100%-'Données projet'!$C$27)</f>
        <v>0.68961351070792953</v>
      </c>
      <c r="J8" s="159">
        <f>IF(OR('Données projet'!B11="",'Données projet'!C11="",'Données projet'!C11=0%),0,SUM(Calculateur!$BL$3:$BL$33)*VLOOKUP('Données projet'!$B$11,Paramètres!$A$1:$I$89,9,0)*B8)</f>
        <v>12.02796</v>
      </c>
      <c r="K8" s="160">
        <f>J8*(100%-'Données projet'!$C$24)*(100%-'Données projet'!$C$25)*(100%-'Données projet'!$C$26)*(100%-'Données projet'!$C$27)</f>
        <v>10.283905800000001</v>
      </c>
      <c r="L8" s="161">
        <f t="shared" ca="1" si="2"/>
        <v>131.66371357462819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2297.1611030603522</v>
      </c>
      <c r="G16" s="175">
        <f t="shared" ca="1" si="3"/>
        <v>1964.072743116601</v>
      </c>
      <c r="H16" s="176">
        <f t="shared" si="3"/>
        <v>3.8946711164762968</v>
      </c>
      <c r="I16" s="176">
        <f t="shared" si="3"/>
        <v>3.3299438045872343</v>
      </c>
      <c r="J16" s="177">
        <f t="shared" si="3"/>
        <v>30.134834999999999</v>
      </c>
      <c r="K16" s="177">
        <f t="shared" si="3"/>
        <v>25.765283924999999</v>
      </c>
      <c r="L16" s="178">
        <f t="shared" ca="1" si="3"/>
        <v>1993.1679708461884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1" t="s">
        <v>246</v>
      </c>
      <c r="G17" s="312"/>
      <c r="H17" s="312"/>
      <c r="I17" s="312"/>
      <c r="J17" s="312"/>
      <c r="K17" s="312"/>
      <c r="L17" s="31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13"/>
      <c r="G18" s="313"/>
      <c r="H18" s="313"/>
      <c r="I18" s="313"/>
      <c r="J18" s="313"/>
      <c r="K18" s="313"/>
      <c r="L18" s="31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7" t="s">
        <v>176</v>
      </c>
      <c r="C1" s="318"/>
      <c r="D1" s="318"/>
      <c r="E1" s="318"/>
      <c r="F1" s="318"/>
      <c r="G1" s="318"/>
      <c r="H1" s="319"/>
      <c r="I1" s="314" t="str">
        <f>IF('Données projet'!$B$9="","",'Données projet'!$B$9)</f>
        <v>Cèdre de l'Atlas</v>
      </c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6"/>
      <c r="AD1" s="315" t="str">
        <f>IF('Données projet'!$B$10="","",'Données projet'!$B$10)</f>
        <v>Chêne sessile</v>
      </c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6"/>
      <c r="AY1" s="314" t="str">
        <f>IF('Données projet'!$B$11="","",'Données projet'!$B$11)</f>
        <v>Douglas</v>
      </c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6"/>
      <c r="BT1" s="314" t="str">
        <f>IF('Données projet'!$B$12="","",'Données projet'!$B$12)</f>
        <v/>
      </c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6"/>
      <c r="CO1" s="314" t="str">
        <f>IF('Données projet'!$B$13="","",'Données projet'!$B$13)</f>
        <v/>
      </c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6"/>
      <c r="DJ1" s="314" t="str">
        <f>IF('Données projet'!$B$14="","",'Données projet'!$B$14)</f>
        <v/>
      </c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6"/>
      <c r="EE1" s="314" t="str">
        <f>IF('Données projet'!$B$15="","",'Données projet'!$B$15)</f>
        <v/>
      </c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6"/>
      <c r="EZ1" s="314" t="str">
        <f>IF('Données projet'!$B$16="","",'Données projet'!$B$16)</f>
        <v/>
      </c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6"/>
      <c r="FU1" s="314" t="str">
        <f>IF('Données projet'!$B$17="","",'Données projet'!$B$17)</f>
        <v/>
      </c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6"/>
      <c r="GP1" s="314" t="str">
        <f>IF('Données projet'!$B$18="","",'Données projet'!$B$18)</f>
        <v/>
      </c>
      <c r="GQ1" s="315"/>
      <c r="GR1" s="315"/>
      <c r="GS1" s="315"/>
      <c r="GT1" s="315"/>
      <c r="GU1" s="315"/>
      <c r="GV1" s="315"/>
      <c r="GW1" s="315"/>
      <c r="GX1" s="315"/>
      <c r="GY1" s="315"/>
      <c r="GZ1" s="315"/>
      <c r="HA1" s="315"/>
      <c r="HB1" s="315"/>
      <c r="HC1" s="315"/>
      <c r="HD1" s="315"/>
      <c r="HE1" s="315"/>
      <c r="HF1" s="315"/>
      <c r="HG1" s="315"/>
      <c r="HH1" s="315"/>
      <c r="HI1" s="315"/>
      <c r="HJ1" s="316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314.1401276393035</v>
      </c>
      <c r="T3" s="62">
        <f>IF('Données projet'!E9&gt;30,$R$33-$H$33,LOOKUP('Données projet'!$E$9,$A$3:$A$203,R3:R203)-LOOKUP('Données projet'!$E$9,$A$3:$A$203,$H$3:$H$203))</f>
        <v>243.75878492878178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272.85581758101404</v>
      </c>
      <c r="AO3" s="62">
        <f>IF('Données projet'!E10&gt;30,$AM$33-$H$33,LOOKUP('Données projet'!$E$10,$A$3:$A$203,AM3:AM203)-LOOKUP('Données projet'!$E$10,$A$3:$A$203,$H$3:$H$203))</f>
        <v>180.73985910201225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282.598842734946</v>
      </c>
      <c r="BJ3" s="62">
        <f>IF('Données projet'!E11&gt;30,$BH$33-$H$33,LOOKUP('Données projet'!$E$11,$A$3:$A$203,BH3:BH203)-LOOKUP('Données projet'!$E$11,$A$3:$A$203,$H$3:$H$203))</f>
        <v>335.56869428808034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258.55379409513478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314.1401276393035</v>
      </c>
      <c r="T4" s="62">
        <f>$T$3</f>
        <v>243.75878492878178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260.61041945338798</v>
      </c>
      <c r="AN4" s="62">
        <f ca="1">AVERAGE(OFFSET($AM$3,0,0,'Données projet'!$E$10+1,1))-AVERAGE(OFFSET($H$3,0,0,'Données projet'!$E$10+1,1))</f>
        <v>272.85581758101404</v>
      </c>
      <c r="AO4" s="62">
        <f>$AO$3</f>
        <v>180.73985910201225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8.16</v>
      </c>
      <c r="BD4" s="13">
        <f>IF('Données projet'!$A$88&gt;35,BD3+BC4-BL3,IF(A4&lt;'Données projet'!$A$88,$BA$205^A4,IF(A4='Données projet'!$A$88,'Données projet'!$B$88,BD3+BC4-BL3)))</f>
        <v>1.2370441695353693</v>
      </c>
      <c r="BE4" s="14">
        <f>BD4*VLOOKUP('Données projet'!$B$11,Paramètres!$A$1:$I$89,3,0)*VLOOKUP('Données projet'!$B$11,Paramètres!$A$1:$I$89,5,0)</f>
        <v>0.69150769077027141</v>
      </c>
      <c r="BF4" s="14">
        <f>EXP(-1.0587+0.8836*LN(BE4)+0.284)</f>
        <v>0.33265703090745263</v>
      </c>
      <c r="BG4" s="22">
        <f t="shared" ref="BG4:BG67" si="7">(BE4+BF4)*0.475*44/12</f>
        <v>1.7837535569220362</v>
      </c>
      <c r="BH4" s="62">
        <f t="shared" ref="BH4:BH67" si="8">BG4+(AY4+AZ4)*44/12</f>
        <v>259.67264244581088</v>
      </c>
      <c r="BI4" s="62">
        <f ca="1">AVERAGE(OFFSET($BH$3,0,0,'Données projet'!$E$11+1,1))-AVERAGE(OFFSET($H$3,0,0,'Données projet'!$E$11+1,1))</f>
        <v>282.598842734946</v>
      </c>
      <c r="BJ4" s="62">
        <f>$BJ$3</f>
        <v>335.56869428808034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260.34633397981264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314.1401276393035</v>
      </c>
      <c r="T5" s="62">
        <f t="shared" ref="T5:T68" si="34">$T$3</f>
        <v>243.75878492878178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262.31694032477441</v>
      </c>
      <c r="AN5" s="62">
        <f ca="1">AVERAGE(OFFSET($AM$3,0,0,'Données projet'!$E$10+1,1))-AVERAGE(OFFSET($H$3,0,0,'Données projet'!$E$10+1,1))</f>
        <v>272.85581758101404</v>
      </c>
      <c r="AO5" s="62">
        <f t="shared" ref="AO5:AO68" si="36">$AO$3</f>
        <v>180.73985910201225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8.16</v>
      </c>
      <c r="BD5" s="13">
        <f>IF('Données projet'!$A$88&gt;35,BD4+BC5-BL4,IF(A5&lt;'Données projet'!$A$88,$BA$205^A5,IF(A5='Données projet'!$A$88,'Données projet'!$B$88,BD4+BC5-BL4)))</f>
        <v>1.5302782773814516</v>
      </c>
      <c r="BE5" s="14">
        <f>BD5*VLOOKUP('Données projet'!$B$11,Paramètres!$A$1:$I$89,3,0)*VLOOKUP('Données projet'!$B$11,Paramètres!$A$1:$I$89,5,0)</f>
        <v>0.85542555705623147</v>
      </c>
      <c r="BF5" s="14">
        <f t="shared" ref="BF5:BF68" si="37">EXP(-1.0587+0.8836*LN(BE5)+0.284)</f>
        <v>0.4014470543503692</v>
      </c>
      <c r="BG5" s="22">
        <f t="shared" si="7"/>
        <v>2.1890531315331625</v>
      </c>
      <c r="BH5" s="62">
        <f t="shared" si="8"/>
        <v>261.30016424264431</v>
      </c>
      <c r="BI5" s="62">
        <f ca="1">AVERAGE(OFFSET($BH$3,0,0,'Données projet'!$E$11+1,1))-AVERAGE(OFFSET($H$3,0,0,'Données projet'!$E$11+1,1))</f>
        <v>282.598842734946</v>
      </c>
      <c r="BJ5" s="62">
        <f t="shared" ref="BJ5:BJ68" si="38">$BJ$3</f>
        <v>335.56869428808034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262.10832683584391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314.1401276393035</v>
      </c>
      <c r="T6" s="62">
        <f t="shared" si="34"/>
        <v>243.75878492878178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264.10995832109523</v>
      </c>
      <c r="AN6" s="62">
        <f ca="1">AVERAGE(OFFSET($AM$3,0,0,'Données projet'!$E$10+1,1))-AVERAGE(OFFSET($H$3,0,0,'Données projet'!$E$10+1,1))</f>
        <v>272.85581758101404</v>
      </c>
      <c r="AO6" s="62">
        <f t="shared" si="36"/>
        <v>180.73985910201225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8.16</v>
      </c>
      <c r="BD6" s="13">
        <f>IF('Données projet'!$A$88&gt;35,BD5+BC6-BL5,IF(A6&lt;'Données projet'!$A$88,$BA$205^A6,IF(A6='Données projet'!$A$88,'Données projet'!$B$88,BD5+BC6-BL5)))</f>
        <v>1.8930218208013534</v>
      </c>
      <c r="BE6" s="14">
        <f>BD6*VLOOKUP('Données projet'!$B$11,Paramètres!$A$1:$I$89,3,0)*VLOOKUP('Données projet'!$B$11,Paramètres!$A$1:$I$89,5,0)</f>
        <v>1.0581991978279566</v>
      </c>
      <c r="BF6" s="14">
        <f t="shared" si="37"/>
        <v>0.48446214110359193</v>
      </c>
      <c r="BG6" s="22">
        <f t="shared" si="7"/>
        <v>2.6868018319724469</v>
      </c>
      <c r="BH6" s="62">
        <f t="shared" si="8"/>
        <v>263.02013516530576</v>
      </c>
      <c r="BI6" s="62">
        <f ca="1">AVERAGE(OFFSET($BH$3,0,0,'Données projet'!$E$11+1,1))-AVERAGE(OFFSET($H$3,0,0,'Données projet'!$E$11+1,1))</f>
        <v>282.598842734946</v>
      </c>
      <c r="BJ6" s="62">
        <f t="shared" si="38"/>
        <v>335.56869428808034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263.85148979266654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314.1401276393035</v>
      </c>
      <c r="T7" s="62">
        <f t="shared" si="34"/>
        <v>243.75878492878178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266.00497533148734</v>
      </c>
      <c r="AN7" s="62">
        <f ca="1">AVERAGE(OFFSET($AM$3,0,0,'Données projet'!$E$10+1,1))-AVERAGE(OFFSET($H$3,0,0,'Données projet'!$E$10+1,1))</f>
        <v>272.85581758101404</v>
      </c>
      <c r="AO7" s="62">
        <f t="shared" si="36"/>
        <v>180.73985910201225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8.16</v>
      </c>
      <c r="BD7" s="13">
        <f>IF('Données projet'!$A$88&gt;35,BD6+BC7-BL6,IF(A7&lt;'Données projet'!$A$88,$BA$205^A7,IF(A7='Données projet'!$A$88,'Données projet'!$B$88,BD6+BC7-BL6)))</f>
        <v>2.341751606225543</v>
      </c>
      <c r="BE7" s="14">
        <f>BD7*VLOOKUP('Données projet'!$B$11,Paramètres!$A$1:$I$89,3,0)*VLOOKUP('Données projet'!$B$11,Paramètres!$A$1:$I$89,5,0)</f>
        <v>1.3090391478800787</v>
      </c>
      <c r="BF7" s="14">
        <f t="shared" si="37"/>
        <v>0.58464388670749945</v>
      </c>
      <c r="BG7" s="22">
        <f t="shared" si="7"/>
        <v>3.2981646185733648</v>
      </c>
      <c r="BH7" s="62">
        <f t="shared" si="8"/>
        <v>264.85372017412891</v>
      </c>
      <c r="BI7" s="62">
        <f ca="1">AVERAGE(OFFSET($BH$3,0,0,'Données projet'!$E$11+1,1))-AVERAGE(OFFSET($H$3,0,0,'Données projet'!$E$11+1,1))</f>
        <v>282.598842734946</v>
      </c>
      <c r="BJ7" s="62">
        <f t="shared" si="38"/>
        <v>335.56869428808034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265.58113343745458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314.1401276393035</v>
      </c>
      <c r="T8" s="62">
        <f t="shared" si="34"/>
        <v>243.75878492878178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268.02028041979435</v>
      </c>
      <c r="AN8" s="62">
        <f ca="1">AVERAGE(OFFSET($AM$3,0,0,'Données projet'!$E$10+1,1))-AVERAGE(OFFSET($H$3,0,0,'Données projet'!$E$10+1,1))</f>
        <v>272.85581758101404</v>
      </c>
      <c r="AO8" s="62">
        <f t="shared" si="36"/>
        <v>180.73985910201225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8.16</v>
      </c>
      <c r="BD8" s="13">
        <f>IF('Données projet'!$A$88&gt;35,BD7+BC8-BL7,IF(A8&lt;'Données projet'!$A$88,$BA$205^A8,IF(A8='Données projet'!$A$88,'Données projet'!$B$88,BD7+BC8-BL7)))</f>
        <v>2.8968501709813941</v>
      </c>
      <c r="BE8" s="14">
        <f>BD8*VLOOKUP('Données projet'!$B$11,Paramètres!$A$1:$I$89,3,0)*VLOOKUP('Données projet'!$B$11,Paramètres!$A$1:$I$89,5,0)</f>
        <v>1.6193392455785991</v>
      </c>
      <c r="BF8" s="14">
        <f t="shared" si="37"/>
        <v>0.70554217814795761</v>
      </c>
      <c r="BG8" s="22">
        <f t="shared" si="7"/>
        <v>4.0491684796570855</v>
      </c>
      <c r="BH8" s="62">
        <f t="shared" si="8"/>
        <v>266.82694625743488</v>
      </c>
      <c r="BI8" s="62">
        <f ca="1">AVERAGE(OFFSET($BH$3,0,0,'Données projet'!$E$11+1,1))-AVERAGE(OFFSET($H$3,0,0,'Données projet'!$E$11+1,1))</f>
        <v>282.598842734946</v>
      </c>
      <c r="BJ8" s="62">
        <f t="shared" si="38"/>
        <v>335.56869428808034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267.30028715085541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314.1401276393035</v>
      </c>
      <c r="T9" s="62">
        <f t="shared" si="34"/>
        <v>243.75878492878178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270.17745244540737</v>
      </c>
      <c r="AN9" s="62">
        <f ca="1">AVERAGE(OFFSET($AM$3,0,0,'Données projet'!$E$10+1,1))-AVERAGE(OFFSET($H$3,0,0,'Données projet'!$E$10+1,1))</f>
        <v>272.85581758101404</v>
      </c>
      <c r="AO9" s="62">
        <f t="shared" si="36"/>
        <v>180.73985910201225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8.16</v>
      </c>
      <c r="BD9" s="13">
        <f>IF('Données projet'!$A$88&gt;35,BD8+BC9-BL8,IF(A9&lt;'Données projet'!$A$88,$BA$205^A9,IF(A9='Données projet'!$A$88,'Données projet'!$B$88,BD8+BC9-BL8)))</f>
        <v>3.5835316140300715</v>
      </c>
      <c r="BE9" s="14">
        <f>BD9*VLOOKUP('Données projet'!$B$11,Paramètres!$A$1:$I$89,3,0)*VLOOKUP('Données projet'!$B$11,Paramètres!$A$1:$I$89,5,0)</f>
        <v>2.0031941722428099</v>
      </c>
      <c r="BF9" s="14">
        <f t="shared" si="37"/>
        <v>0.85144098221762698</v>
      </c>
      <c r="BG9" s="22">
        <f t="shared" si="7"/>
        <v>4.9718228940185938</v>
      </c>
      <c r="BH9" s="62">
        <f t="shared" si="8"/>
        <v>268.9718228940186</v>
      </c>
      <c r="BI9" s="62">
        <f ca="1">AVERAGE(OFFSET($BH$3,0,0,'Données projet'!$E$11+1,1))-AVERAGE(OFFSET($H$3,0,0,'Données projet'!$E$11+1,1))</f>
        <v>282.598842734946</v>
      </c>
      <c r="BJ9" s="62">
        <f t="shared" si="38"/>
        <v>335.56869428808034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269.01090385743964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314.1401276393035</v>
      </c>
      <c r="T10" s="62">
        <f t="shared" si="34"/>
        <v>243.75878492878178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272.50195357358808</v>
      </c>
      <c r="AN10" s="62">
        <f ca="1">AVERAGE(OFFSET($AM$3,0,0,'Données projet'!$E$10+1,1))-AVERAGE(OFFSET($H$3,0,0,'Données projet'!$E$10+1,1))</f>
        <v>272.85581758101404</v>
      </c>
      <c r="AO10" s="62">
        <f t="shared" si="36"/>
        <v>180.73985910201225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8.16</v>
      </c>
      <c r="BD10" s="13">
        <f>IF('Données projet'!$A$88&gt;35,BD9+BC10-BL9,IF(A10&lt;'Données projet'!$A$88,$BA$205^A10,IF(A10='Données projet'!$A$88,'Données projet'!$B$88,BD9+BC10-BL9)))</f>
        <v>4.4329868894815716</v>
      </c>
      <c r="BE10" s="14">
        <f>BD10*VLOOKUP('Données projet'!$B$11,Paramètres!$A$1:$I$89,3,0)*VLOOKUP('Données projet'!$B$11,Paramètres!$A$1:$I$89,5,0)</f>
        <v>2.4780396712201984</v>
      </c>
      <c r="BF10" s="14">
        <f t="shared" si="37"/>
        <v>1.0275101456056246</v>
      </c>
      <c r="BG10" s="22">
        <f t="shared" si="7"/>
        <v>6.1054992643049744</v>
      </c>
      <c r="BH10" s="62">
        <f t="shared" si="8"/>
        <v>271.3277214865272</v>
      </c>
      <c r="BI10" s="62">
        <f ca="1">AVERAGE(OFFSET($BH$3,0,0,'Données projet'!$E$11+1,1))-AVERAGE(OFFSET($H$3,0,0,'Données projet'!$E$11+1,1))</f>
        <v>282.598842734946</v>
      </c>
      <c r="BJ10" s="62">
        <f t="shared" si="38"/>
        <v>335.56869428808034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270.71434384627219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314.1401276393035</v>
      </c>
      <c r="T11" s="62">
        <f t="shared" si="34"/>
        <v>243.75878492878178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275.02383015254469</v>
      </c>
      <c r="AN11" s="62">
        <f ca="1">AVERAGE(OFFSET($AM$3,0,0,'Données projet'!$E$10+1,1))-AVERAGE(OFFSET($H$3,0,0,'Données projet'!$E$10+1,1))</f>
        <v>272.85581758101404</v>
      </c>
      <c r="AO11" s="62">
        <f t="shared" si="36"/>
        <v>180.73985910201225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8.16</v>
      </c>
      <c r="BD11" s="13">
        <f>IF('Données projet'!$A$88&gt;35,BD10+BC11-BL10,IF(A11&lt;'Données projet'!$A$88,$BA$205^A11,IF(A11='Données projet'!$A$88,'Données projet'!$B$88,BD10+BC11-BL10)))</f>
        <v>5.4838005852599103</v>
      </c>
      <c r="BE11" s="14">
        <f>BD11*VLOOKUP('Données projet'!$B$11,Paramètres!$A$1:$I$89,3,0)*VLOOKUP('Données projet'!$B$11,Paramètres!$A$1:$I$89,5,0)</f>
        <v>3.0654445271602904</v>
      </c>
      <c r="BF11" s="14">
        <f t="shared" si="37"/>
        <v>1.2399885856711521</v>
      </c>
      <c r="BG11" s="22">
        <f t="shared" si="7"/>
        <v>7.498629338181428</v>
      </c>
      <c r="BH11" s="62">
        <f t="shared" si="8"/>
        <v>273.9430737826259</v>
      </c>
      <c r="BI11" s="62">
        <f ca="1">AVERAGE(OFFSET($BH$3,0,0,'Données projet'!$E$11+1,1))-AVERAGE(OFFSET($H$3,0,0,'Données projet'!$E$11+1,1))</f>
        <v>282.598842734946</v>
      </c>
      <c r="BJ11" s="62">
        <f t="shared" si="38"/>
        <v>335.56869428808034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272.41160694711994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314.1401276393035</v>
      </c>
      <c r="T12" s="62">
        <f t="shared" si="34"/>
        <v>243.75878492878178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277.77854042859184</v>
      </c>
      <c r="AN12" s="62">
        <f ca="1">AVERAGE(OFFSET($AM$3,0,0,'Données projet'!$E$10+1,1))-AVERAGE(OFFSET($H$3,0,0,'Données projet'!$E$10+1,1))</f>
        <v>272.85581758101404</v>
      </c>
      <c r="AO12" s="62">
        <f t="shared" si="36"/>
        <v>180.73985910201225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8.16</v>
      </c>
      <c r="BD12" s="13">
        <f>IF('Données projet'!$A$88&gt;35,BD11+BC12-BL11,IF(A12&lt;'Données projet'!$A$88,$BA$205^A12,IF(A12='Données projet'!$A$88,'Données projet'!$B$88,BD11+BC12-BL11)))</f>
        <v>6.7837035408904178</v>
      </c>
      <c r="BE12" s="14">
        <f>BD12*VLOOKUP('Données projet'!$B$11,Paramètres!$A$1:$I$89,3,0)*VLOOKUP('Données projet'!$B$11,Paramètres!$A$1:$I$89,5,0)</f>
        <v>3.7920902793577436</v>
      </c>
      <c r="BF12" s="14">
        <f t="shared" si="37"/>
        <v>1.4964053631689291</v>
      </c>
      <c r="BG12" s="22">
        <f t="shared" si="7"/>
        <v>9.2107965774006217</v>
      </c>
      <c r="BH12" s="62">
        <f t="shared" si="8"/>
        <v>276.87746324406731</v>
      </c>
      <c r="BI12" s="62">
        <f ca="1">AVERAGE(OFFSET($BH$3,0,0,'Données projet'!$E$11+1,1))-AVERAGE(OFFSET($H$3,0,0,'Données projet'!$E$11+1,1))</f>
        <v>282.598842734946</v>
      </c>
      <c r="BJ12" s="62">
        <f t="shared" si="38"/>
        <v>335.56869428808034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274.10345777088082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314.1401276393035</v>
      </c>
      <c r="T13" s="62">
        <f t="shared" si="34"/>
        <v>243.75878492878178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280.80793210997274</v>
      </c>
      <c r="AN13" s="62">
        <f ca="1">AVERAGE(OFFSET($AM$3,0,0,'Données projet'!$E$10+1,1))-AVERAGE(OFFSET($H$3,0,0,'Données projet'!$E$10+1,1))</f>
        <v>272.85581758101404</v>
      </c>
      <c r="AO13" s="62">
        <f t="shared" si="36"/>
        <v>180.73985910201225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8.16</v>
      </c>
      <c r="BD13" s="13">
        <f>IF('Données projet'!$A$88&gt;35,BD12+BC13-BL12,IF(A13&lt;'Données projet'!$A$88,$BA$205^A13,IF(A13='Données projet'!$A$88,'Données projet'!$B$88,BD12+BC13-BL12)))</f>
        <v>8.3917409131149316</v>
      </c>
      <c r="BE13" s="14">
        <f>BD13*VLOOKUP('Données projet'!$B$11,Paramètres!$A$1:$I$89,3,0)*VLOOKUP('Données projet'!$B$11,Paramètres!$A$1:$I$89,5,0)</f>
        <v>4.690983170431247</v>
      </c>
      <c r="BF13" s="14">
        <f t="shared" si="37"/>
        <v>1.8058464705211281</v>
      </c>
      <c r="BG13" s="22">
        <f t="shared" si="7"/>
        <v>11.315311624658721</v>
      </c>
      <c r="BH13" s="62">
        <f t="shared" si="8"/>
        <v>280.20420051354756</v>
      </c>
      <c r="BI13" s="62">
        <f ca="1">AVERAGE(OFFSET($BH$3,0,0,'Données projet'!$E$11+1,1))-AVERAGE(OFFSET($H$3,0,0,'Données projet'!$E$11+1,1))</f>
        <v>282.598842734946</v>
      </c>
      <c r="BJ13" s="62">
        <f t="shared" si="38"/>
        <v>335.56869428808034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275.79049915707532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314.1401276393035</v>
      </c>
      <c r="T14" s="62">
        <f t="shared" si="34"/>
        <v>243.75878492878178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284.16139697381971</v>
      </c>
      <c r="AN14" s="62">
        <f ca="1">AVERAGE(OFFSET($AM$3,0,0,'Données projet'!$E$10+1,1))-AVERAGE(OFFSET($H$3,0,0,'Données projet'!$E$10+1,1))</f>
        <v>272.85581758101404</v>
      </c>
      <c r="AO14" s="62">
        <f t="shared" si="36"/>
        <v>180.73985910201225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8.16</v>
      </c>
      <c r="BD14" s="13">
        <f>IF('Données projet'!$A$88&gt;35,BD13+BC14-BL13,IF(A14&lt;'Données projet'!$A$88,$BA$205^A14,IF(A14='Données projet'!$A$88,'Données projet'!$B$88,BD13+BC14-BL13)))</f>
        <v>10.380954168820242</v>
      </c>
      <c r="BE14" s="14">
        <f>BD14*VLOOKUP('Données projet'!$B$11,Paramètres!$A$1:$I$89,3,0)*VLOOKUP('Données projet'!$B$11,Paramètres!$A$1:$I$89,5,0)</f>
        <v>5.802953380370516</v>
      </c>
      <c r="BF14" s="14">
        <f t="shared" si="37"/>
        <v>2.1792767891366283</v>
      </c>
      <c r="BG14" s="22">
        <f t="shared" si="7"/>
        <v>13.902384211891608</v>
      </c>
      <c r="BH14" s="62">
        <f t="shared" si="8"/>
        <v>284.01349532300276</v>
      </c>
      <c r="BI14" s="62">
        <f ca="1">AVERAGE(OFFSET($BH$3,0,0,'Données projet'!$E$11+1,1))-AVERAGE(OFFSET($H$3,0,0,'Données projet'!$E$11+1,1))</f>
        <v>282.598842734946</v>
      </c>
      <c r="BJ14" s="62">
        <f t="shared" si="38"/>
        <v>335.56869428808034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277.47321805133089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314.1401276393035</v>
      </c>
      <c r="T15" s="62">
        <f t="shared" si="34"/>
        <v>243.75878492878178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287.89723465691981</v>
      </c>
      <c r="AN15" s="62">
        <f ca="1">AVERAGE(OFFSET($AM$3,0,0,'Données projet'!$E$10+1,1))-AVERAGE(OFFSET($H$3,0,0,'Données projet'!$E$10+1,1))</f>
        <v>272.85581758101404</v>
      </c>
      <c r="AO15" s="62">
        <f t="shared" si="36"/>
        <v>180.73985910201225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8.16</v>
      </c>
      <c r="BD15" s="13">
        <f>IF('Données projet'!$A$88&gt;35,BD14+BC15-BL14,IF(A15&lt;'Données projet'!$A$88,$BA$205^A15,IF(A15='Données projet'!$A$88,'Données projet'!$B$88,BD14+BC15-BL14)))</f>
        <v>12.841698828752968</v>
      </c>
      <c r="BE15" s="14">
        <f>BD15*VLOOKUP('Données projet'!$B$11,Paramètres!$A$1:$I$89,3,0)*VLOOKUP('Données projet'!$B$11,Paramètres!$A$1:$I$89,5,0)</f>
        <v>7.1785096452729089</v>
      </c>
      <c r="BF15" s="14">
        <f t="shared" si="37"/>
        <v>2.6299286241643371</v>
      </c>
      <c r="BG15" s="22">
        <f t="shared" si="7"/>
        <v>17.083029985936538</v>
      </c>
      <c r="BH15" s="62">
        <f t="shared" si="8"/>
        <v>288.41636331926986</v>
      </c>
      <c r="BI15" s="62">
        <f ca="1">AVERAGE(OFFSET($BH$3,0,0,'Données projet'!$E$11+1,1))-AVERAGE(OFFSET($H$3,0,0,'Données projet'!$E$11+1,1))</f>
        <v>282.598842734946</v>
      </c>
      <c r="BJ15" s="62">
        <f t="shared" si="38"/>
        <v>335.56869428808034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279.15201561372129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314.1401276393035</v>
      </c>
      <c r="T16" s="62">
        <f t="shared" si="34"/>
        <v>243.75878492878178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292.0842636185788</v>
      </c>
      <c r="AN16" s="62">
        <f ca="1">AVERAGE(OFFSET($AM$3,0,0,'Données projet'!$E$10+1,1))-AVERAGE(OFFSET($H$3,0,0,'Données projet'!$E$10+1,1))</f>
        <v>272.85581758101404</v>
      </c>
      <c r="AO16" s="62">
        <f t="shared" si="36"/>
        <v>180.73985910201225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8.16</v>
      </c>
      <c r="BD16" s="13">
        <f>IF('Données projet'!$A$88&gt;35,BD15+BC16-BL15,IF(A16&lt;'Données projet'!$A$88,$BA$205^A16,IF(A16='Données projet'!$A$88,'Données projet'!$B$88,BD15+BC16-BL15)))</f>
        <v>15.88574866303804</v>
      </c>
      <c r="BE16" s="14">
        <f>BD16*VLOOKUP('Données projet'!$B$11,Paramètres!$A$1:$I$89,3,0)*VLOOKUP('Données projet'!$B$11,Paramètres!$A$1:$I$89,5,0)</f>
        <v>8.8801335026382642</v>
      </c>
      <c r="BF16" s="14">
        <f t="shared" si="37"/>
        <v>3.173770584203333</v>
      </c>
      <c r="BG16" s="22">
        <f t="shared" si="7"/>
        <v>20.993882951249116</v>
      </c>
      <c r="BH16" s="62">
        <f t="shared" si="8"/>
        <v>293.54943850680468</v>
      </c>
      <c r="BI16" s="62">
        <f ca="1">AVERAGE(OFFSET($BH$3,0,0,'Données projet'!$E$11+1,1))-AVERAGE(OFFSET($H$3,0,0,'Données projet'!$E$11+1,1))</f>
        <v>282.598842734946</v>
      </c>
      <c r="BJ16" s="62">
        <f t="shared" si="38"/>
        <v>335.56869428808034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280.82722778146683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314.1401276393035</v>
      </c>
      <c r="T17" s="62">
        <f t="shared" si="34"/>
        <v>243.75878492878178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296.80372417751374</v>
      </c>
      <c r="AN17" s="62">
        <f ca="1">AVERAGE(OFFSET($AM$3,0,0,'Données projet'!$E$10+1,1))-AVERAGE(OFFSET($H$3,0,0,'Données projet'!$E$10+1,1))</f>
        <v>272.85581758101404</v>
      </c>
      <c r="AO17" s="62">
        <f t="shared" si="36"/>
        <v>180.73985910201225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8.16</v>
      </c>
      <c r="BD17" s="13">
        <f>IF('Données projet'!$A$88&gt;35,BD16+BC17-BL16,IF(A17&lt;'Données projet'!$A$88,$BA$205^A17,IF(A17='Données projet'!$A$88,'Données projet'!$B$88,BD16+BC17-BL16)))</f>
        <v>19.651372762315496</v>
      </c>
      <c r="BE17" s="14">
        <f>BD17*VLOOKUP('Données projet'!$B$11,Paramètres!$A$1:$I$89,3,0)*VLOOKUP('Données projet'!$B$11,Paramètres!$A$1:$I$89,5,0)</f>
        <v>10.985117374134363</v>
      </c>
      <c r="BF17" s="14">
        <f t="shared" si="37"/>
        <v>3.8300734204735383</v>
      </c>
      <c r="BG17" s="22">
        <f t="shared" si="7"/>
        <v>25.803123967275425</v>
      </c>
      <c r="BH17" s="62">
        <f t="shared" si="8"/>
        <v>299.58090174505321</v>
      </c>
      <c r="BI17" s="62">
        <f ca="1">AVERAGE(OFFSET($BH$3,0,0,'Données projet'!$E$11+1,1))-AVERAGE(OFFSET($H$3,0,0,'Données projet'!$E$11+1,1))</f>
        <v>282.598842734946</v>
      </c>
      <c r="BJ17" s="62">
        <f t="shared" si="38"/>
        <v>335.56869428808034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282.49913978135817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314.1401276393035</v>
      </c>
      <c r="T18" s="62">
        <f t="shared" si="34"/>
        <v>243.75878492878178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302.15152669905046</v>
      </c>
      <c r="AN18" s="62">
        <f ca="1">AVERAGE(OFFSET($AM$3,0,0,'Données projet'!$E$10+1,1))-AVERAGE(OFFSET($H$3,0,0,'Données projet'!$E$10+1,1))</f>
        <v>272.85581758101404</v>
      </c>
      <c r="AO18" s="62">
        <f t="shared" si="36"/>
        <v>180.73985910201225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8.16</v>
      </c>
      <c r="BD18" s="13">
        <f>IF('Données projet'!$A$88&gt;35,BD17+BC18-BL17,IF(A18&lt;'Données projet'!$A$88,$BA$205^A18,IF(A18='Données projet'!$A$88,'Données projet'!$B$88,BD17+BC18-BL17)))</f>
        <v>24.309616098988553</v>
      </c>
      <c r="BE18" s="14">
        <f>BD18*VLOOKUP('Données projet'!$B$11,Paramètres!$A$1:$I$89,3,0)*VLOOKUP('Données projet'!$B$11,Paramètres!$A$1:$I$89,5,0)</f>
        <v>13.5890753993346</v>
      </c>
      <c r="BF18" s="14">
        <f t="shared" si="37"/>
        <v>4.6220928756575921</v>
      </c>
      <c r="BG18" s="22">
        <f t="shared" si="7"/>
        <v>31.717784745611407</v>
      </c>
      <c r="BH18" s="62">
        <f t="shared" si="8"/>
        <v>306.71778474561143</v>
      </c>
      <c r="BI18" s="62">
        <f ca="1">AVERAGE(OFFSET($BH$3,0,0,'Données projet'!$E$11+1,1))-AVERAGE(OFFSET($H$3,0,0,'Données projet'!$E$11+1,1))</f>
        <v>282.598842734946</v>
      </c>
      <c r="BJ18" s="62">
        <f t="shared" si="38"/>
        <v>335.56869428808034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284.16799665840114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314.1401276393035</v>
      </c>
      <c r="T19" s="62">
        <f t="shared" si="34"/>
        <v>243.75878492878178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308.24090767423354</v>
      </c>
      <c r="AN19" s="62">
        <f ca="1">AVERAGE(OFFSET($AM$3,0,0,'Données projet'!$E$10+1,1))-AVERAGE(OFFSET($H$3,0,0,'Données projet'!$E$10+1,1))</f>
        <v>272.85581758101404</v>
      </c>
      <c r="AO19" s="62">
        <f t="shared" si="36"/>
        <v>180.73985910201225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8.16</v>
      </c>
      <c r="BD19" s="13">
        <f>IF('Données projet'!$A$88&gt;35,BD18+BC19-BL18,IF(A19&lt;'Données projet'!$A$88,$BA$205^A19,IF(A19='Données projet'!$A$88,'Données projet'!$B$88,BD18+BC19-BL18)))</f>
        <v>30.072068858896934</v>
      </c>
      <c r="BE19" s="14">
        <f>BD19*VLOOKUP('Données projet'!$B$11,Paramètres!$A$1:$I$89,3,0)*VLOOKUP('Données projet'!$B$11,Paramètres!$A$1:$I$89,5,0)</f>
        <v>16.810286492123385</v>
      </c>
      <c r="BF19" s="14">
        <f t="shared" si="37"/>
        <v>5.5778937388002685</v>
      </c>
      <c r="BG19" s="22">
        <f t="shared" si="7"/>
        <v>38.992747235525364</v>
      </c>
      <c r="BH19" s="62">
        <f t="shared" si="8"/>
        <v>315.2149694577476</v>
      </c>
      <c r="BI19" s="62">
        <f ca="1">AVERAGE(OFFSET($BH$3,0,0,'Données projet'!$E$11+1,1))-AVERAGE(OFFSET($H$3,0,0,'Données projet'!$E$11+1,1))</f>
        <v>282.598842734946</v>
      </c>
      <c r="BJ19" s="62">
        <f t="shared" si="38"/>
        <v>335.56869428808034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285.83401109572719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314.1401276393035</v>
      </c>
      <c r="T20" s="62">
        <f t="shared" si="34"/>
        <v>243.75878492878178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315.20556786121267</v>
      </c>
      <c r="AN20" s="62">
        <f ca="1">AVERAGE(OFFSET($AM$3,0,0,'Données projet'!$E$10+1,1))-AVERAGE(OFFSET($H$3,0,0,'Données projet'!$E$10+1,1))</f>
        <v>272.85581758101404</v>
      </c>
      <c r="AO20" s="62">
        <f t="shared" si="36"/>
        <v>180.73985910201225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8.16</v>
      </c>
      <c r="BD20" s="13">
        <f>IF('Données projet'!$A$88&gt;35,BD19+BC20-BL19,IF(A20&lt;'Données projet'!$A$88,$BA$205^A20,IF(A20='Données projet'!$A$88,'Données projet'!$B$88,BD19+BC20-BL19)))</f>
        <v>37.200477447764598</v>
      </c>
      <c r="BE20" s="14">
        <f>BD20*VLOOKUP('Données projet'!$B$11,Paramètres!$A$1:$I$89,3,0)*VLOOKUP('Données projet'!$B$11,Paramètres!$A$1:$I$89,5,0)</f>
        <v>20.795066893300412</v>
      </c>
      <c r="BF20" s="14">
        <f t="shared" si="37"/>
        <v>6.7313443062133995</v>
      </c>
      <c r="BG20" s="22">
        <f t="shared" si="7"/>
        <v>47.941832839153214</v>
      </c>
      <c r="BH20" s="62">
        <f t="shared" si="8"/>
        <v>325.38627728359768</v>
      </c>
      <c r="BI20" s="62">
        <f ca="1">AVERAGE(OFFSET($BH$3,0,0,'Données projet'!$E$11+1,1))-AVERAGE(OFFSET($H$3,0,0,'Données projet'!$E$11+1,1))</f>
        <v>282.598842734946</v>
      </c>
      <c r="BJ20" s="62">
        <f t="shared" si="38"/>
        <v>335.56869428808034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287.49736934143755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314.1401276393035</v>
      </c>
      <c r="T21" s="62">
        <f t="shared" si="34"/>
        <v>243.75878492878178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323.20338017372916</v>
      </c>
      <c r="AN21" s="62">
        <f ca="1">AVERAGE(OFFSET($AM$3,0,0,'Données projet'!$E$10+1,1))-AVERAGE(OFFSET($H$3,0,0,'Données projet'!$E$10+1,1))</f>
        <v>272.85581758101404</v>
      </c>
      <c r="AO21" s="62">
        <f t="shared" si="36"/>
        <v>180.73985910201225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8.16</v>
      </c>
      <c r="BD21" s="13">
        <f>IF('Données projet'!$A$88&gt;35,BD20+BC21-BL20,IF(A21&lt;'Données projet'!$A$88,$BA$205^A21,IF(A21='Données projet'!$A$88,'Données projet'!$B$88,BD20+BC21-BL20)))</f>
        <v>46.018633730689196</v>
      </c>
      <c r="BE21" s="14">
        <f>BD21*VLOOKUP('Données projet'!$B$11,Paramètres!$A$1:$I$89,3,0)*VLOOKUP('Données projet'!$B$11,Paramètres!$A$1:$I$89,5,0)</f>
        <v>25.72441625545526</v>
      </c>
      <c r="BF21" s="14">
        <f t="shared" si="37"/>
        <v>8.1233164865807037</v>
      </c>
      <c r="BG21" s="22">
        <f t="shared" si="7"/>
        <v>58.951467859045977</v>
      </c>
      <c r="BH21" s="62">
        <f t="shared" si="8"/>
        <v>337.61813452571266</v>
      </c>
      <c r="BI21" s="62">
        <f ca="1">AVERAGE(OFFSET($BH$3,0,0,'Données projet'!$E$11+1,1))-AVERAGE(OFFSET($H$3,0,0,'Données projet'!$E$11+1,1))</f>
        <v>282.598842734946</v>
      </c>
      <c r="BJ21" s="62">
        <f t="shared" si="38"/>
        <v>335.56869428808034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289.15823578061162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314.1401276393035</v>
      </c>
      <c r="T22" s="62">
        <f t="shared" si="34"/>
        <v>243.75878492878178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332.42077098296102</v>
      </c>
      <c r="AN22" s="62">
        <f ca="1">AVERAGE(OFFSET($AM$3,0,0,'Données projet'!$E$10+1,1))-AVERAGE(OFFSET($H$3,0,0,'Données projet'!$E$10+1,1))</f>
        <v>272.85581758101404</v>
      </c>
      <c r="AO22" s="62">
        <f t="shared" si="36"/>
        <v>180.73985910201225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8.16</v>
      </c>
      <c r="BD22" s="13">
        <f>IF('Données projet'!$A$88&gt;35,BD21+BC22-BL21,IF(A22&lt;'Données projet'!$A$88,$BA$205^A22,IF(A22='Données projet'!$A$88,'Données projet'!$B$88,BD21+BC22-BL21)))</f>
        <v>56.927082546532752</v>
      </c>
      <c r="BE22" s="14">
        <f>BD22*VLOOKUP('Données projet'!$B$11,Paramètres!$A$1:$I$89,3,0)*VLOOKUP('Données projet'!$B$11,Paramètres!$A$1:$I$89,5,0)</f>
        <v>31.822239143511808</v>
      </c>
      <c r="BF22" s="14">
        <f t="shared" si="37"/>
        <v>9.8031340753500196</v>
      </c>
      <c r="BG22" s="22">
        <f t="shared" si="7"/>
        <v>72.497525022851008</v>
      </c>
      <c r="BH22" s="62">
        <f t="shared" si="8"/>
        <v>352.38641391173985</v>
      </c>
      <c r="BI22" s="62">
        <f ca="1">AVERAGE(OFFSET($BH$3,0,0,'Données projet'!$E$11+1,1))-AVERAGE(OFFSET($H$3,0,0,'Données projet'!$E$11+1,1))</f>
        <v>282.598842734946</v>
      </c>
      <c r="BJ22" s="62">
        <f t="shared" si="38"/>
        <v>335.56869428808034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290.81675651732814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314.1401276393035</v>
      </c>
      <c r="T23" s="62">
        <f t="shared" si="34"/>
        <v>243.75878492878178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343.07789739847863</v>
      </c>
      <c r="AN23" s="62">
        <f ca="1">AVERAGE(OFFSET($AM$3,0,0,'Données projet'!$E$10+1,1))-AVERAGE(OFFSET($H$3,0,0,'Données projet'!$E$10+1,1))</f>
        <v>272.85581758101404</v>
      </c>
      <c r="AO23" s="62">
        <f t="shared" si="36"/>
        <v>180.73985910201225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8.16</v>
      </c>
      <c r="BD23" s="13">
        <f>IF('Données projet'!$A$88&gt;35,BD22+BC23-BL22,IF(A23&lt;'Données projet'!$A$88,$BA$205^A23,IF(A23='Données projet'!$A$88,'Données projet'!$B$88,BD22+BC23-BL22)))</f>
        <v>70.421315552847034</v>
      </c>
      <c r="BE23" s="14">
        <f>BD23*VLOOKUP('Données projet'!$B$11,Paramètres!$A$1:$I$89,3,0)*VLOOKUP('Données projet'!$B$11,Paramètres!$A$1:$I$89,5,0)</f>
        <v>39.365515394041495</v>
      </c>
      <c r="BF23" s="14">
        <f t="shared" si="37"/>
        <v>11.830320517247268</v>
      </c>
      <c r="BG23" s="22">
        <f t="shared" si="7"/>
        <v>89.166080878827913</v>
      </c>
      <c r="BH23" s="62">
        <f t="shared" si="8"/>
        <v>370.27719198993907</v>
      </c>
      <c r="BI23" s="62">
        <f ca="1">AVERAGE(OFFSET($BH$3,0,0,'Données projet'!$E$11+1,1))-AVERAGE(OFFSET($H$3,0,0,'Données projet'!$E$11+1,1))</f>
        <v>282.598842734946</v>
      </c>
      <c r="BJ23" s="62">
        <f t="shared" si="38"/>
        <v>335.56869428808034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292.47306221992341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456.42729018925093</v>
      </c>
      <c r="S24" s="62">
        <f ca="1">AVERAGE(OFFSET($R$3,0,0,'Données projet'!$E$9+1,1))-AVERAGE(OFFSET($H$3,0,0,'Données projet'!$E$9+1,1))</f>
        <v>314.1401276393035</v>
      </c>
      <c r="T24" s="62">
        <f t="shared" si="34"/>
        <v>243.75878492878178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355.4347654452813</v>
      </c>
      <c r="AN24" s="62">
        <f ca="1">AVERAGE(OFFSET($AM$3,0,0,'Données projet'!$E$10+1,1))-AVERAGE(OFFSET($H$3,0,0,'Données projet'!$E$10+1,1))</f>
        <v>272.85581758101404</v>
      </c>
      <c r="AO24" s="62">
        <f t="shared" si="36"/>
        <v>180.73985910201225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8.16</v>
      </c>
      <c r="BD24" s="13">
        <f>IF('Données projet'!$A$88&gt;35,BD23+BC24-BL23,IF(A24&lt;'Données projet'!$A$88,$BA$205^A24,IF(A24='Données projet'!$A$88,'Données projet'!$B$88,BD23+BC24-BL23)))</f>
        <v>87.114277815659833</v>
      </c>
      <c r="BE24" s="14">
        <f>BD24*VLOOKUP('Données projet'!$B$11,Paramètres!$A$1:$I$89,3,0)*VLOOKUP('Données projet'!$B$11,Paramètres!$A$1:$I$89,5,0)</f>
        <v>48.696881298953855</v>
      </c>
      <c r="BF24" s="14">
        <f t="shared" si="37"/>
        <v>14.276708087949373</v>
      </c>
      <c r="BG24" s="22">
        <f t="shared" si="7"/>
        <v>109.67900151552313</v>
      </c>
      <c r="BH24" s="62">
        <f t="shared" si="8"/>
        <v>392.01233484885643</v>
      </c>
      <c r="BI24" s="62">
        <f ca="1">AVERAGE(OFFSET($BH$3,0,0,'Données projet'!$E$11+1,1))-AVERAGE(OFFSET($H$3,0,0,'Données projet'!$E$11+1,1))</f>
        <v>282.598842734946</v>
      </c>
      <c r="BJ24" s="62">
        <f t="shared" si="38"/>
        <v>335.56869428808034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294.12727040894015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466.98091528491091</v>
      </c>
      <c r="S25" s="62">
        <f ca="1">AVERAGE(OFFSET($R$3,0,0,'Données projet'!$E$9+1,1))-AVERAGE(OFFSET($H$3,0,0,'Données projet'!$E$9+1,1))</f>
        <v>314.1401276393035</v>
      </c>
      <c r="T25" s="62">
        <f t="shared" si="34"/>
        <v>243.75878492878178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369.7984604882671</v>
      </c>
      <c r="AN25" s="62">
        <f ca="1">AVERAGE(OFFSET($AM$3,0,0,'Données projet'!$E$10+1,1))-AVERAGE(OFFSET($H$3,0,0,'Données projet'!$E$10+1,1))</f>
        <v>272.85581758101404</v>
      </c>
      <c r="AO25" s="62">
        <f t="shared" si="36"/>
        <v>180.73985910201225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8.16</v>
      </c>
      <c r="BD25" s="13">
        <f>IF('Données projet'!$A$88&gt;35,BD24+BC25-BL24,IF(A25&lt;'Données projet'!$A$88,$BA$205^A25,IF(A25='Données projet'!$A$88,'Données projet'!$B$88,BD24+BC25-BL24)))</f>
        <v>107.76420945514639</v>
      </c>
      <c r="BE25" s="14">
        <f>BD25*VLOOKUP('Données projet'!$B$11,Paramètres!$A$1:$I$89,3,0)*VLOOKUP('Données projet'!$B$11,Paramètres!$A$1:$I$89,5,0)</f>
        <v>60.240193085426824</v>
      </c>
      <c r="BF25" s="14">
        <f t="shared" si="37"/>
        <v>17.228983232649188</v>
      </c>
      <c r="BG25" s="22">
        <f t="shared" si="7"/>
        <v>134.92548208731571</v>
      </c>
      <c r="BH25" s="62">
        <f t="shared" si="8"/>
        <v>418.48103764287123</v>
      </c>
      <c r="BI25" s="62">
        <f ca="1">AVERAGE(OFFSET($BH$3,0,0,'Données projet'!$E$11+1,1))-AVERAGE(OFFSET($H$3,0,0,'Données projet'!$E$11+1,1))</f>
        <v>282.598842734946</v>
      </c>
      <c r="BJ25" s="62">
        <f t="shared" si="38"/>
        <v>335.56869428808034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295.77948731732636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477.52344422670757</v>
      </c>
      <c r="S26" s="62">
        <f ca="1">AVERAGE(OFFSET($R$3,0,0,'Données projet'!$E$9+1,1))-AVERAGE(OFFSET($H$3,0,0,'Données projet'!$E$9+1,1))</f>
        <v>314.1401276393035</v>
      </c>
      <c r="T26" s="62">
        <f t="shared" si="34"/>
        <v>243.75878492878178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386.53169252010935</v>
      </c>
      <c r="AN26" s="62">
        <f ca="1">AVERAGE(OFFSET($AM$3,0,0,'Données projet'!$E$10+1,1))-AVERAGE(OFFSET($H$3,0,0,'Données projet'!$E$10+1,1))</f>
        <v>272.85581758101404</v>
      </c>
      <c r="AO26" s="62">
        <f t="shared" si="36"/>
        <v>180.73985910201225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8.16</v>
      </c>
      <c r="BD26" s="13">
        <f>IF('Données projet'!$A$88&gt;35,BD25+BC26-BL25,IF(A26&lt;'Données projet'!$A$88,$BA$205^A26,IF(A26='Données projet'!$A$88,'Données projet'!$B$88,BD25+BC26-BL25)))</f>
        <v>133.30908699107715</v>
      </c>
      <c r="BE26" s="14">
        <f>BD26*VLOOKUP('Données projet'!$B$11,Paramètres!$A$1:$I$89,3,0)*VLOOKUP('Données projet'!$B$11,Paramètres!$A$1:$I$89,5,0)</f>
        <v>74.519779628012131</v>
      </c>
      <c r="BF26" s="14">
        <f t="shared" si="37"/>
        <v>20.791758254233745</v>
      </c>
      <c r="BG26" s="22">
        <f t="shared" si="7"/>
        <v>166.00092847824487</v>
      </c>
      <c r="BH26" s="62">
        <f t="shared" si="8"/>
        <v>450.77870625602264</v>
      </c>
      <c r="BI26" s="62">
        <f ca="1">AVERAGE(OFFSET($BH$3,0,0,'Données projet'!$E$11+1,1))-AVERAGE(OFFSET($H$3,0,0,'Données projet'!$E$11+1,1))</f>
        <v>282.598842734946</v>
      </c>
      <c r="BJ26" s="62">
        <f t="shared" si="38"/>
        <v>335.56869428808034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297.42980941799317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488.05548980820538</v>
      </c>
      <c r="S27" s="62">
        <f ca="1">AVERAGE(OFFSET($R$3,0,0,'Données projet'!$E$9+1,1))-AVERAGE(OFFSET($H$3,0,0,'Données projet'!$E$9+1,1))</f>
        <v>314.1401276393035</v>
      </c>
      <c r="T27" s="62">
        <f t="shared" si="34"/>
        <v>243.75878492878178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406.06289590738135</v>
      </c>
      <c r="AN27" s="62">
        <f ca="1">AVERAGE(OFFSET($AM$3,0,0,'Données projet'!$E$10+1,1))-AVERAGE(OFFSET($H$3,0,0,'Données projet'!$E$10+1,1))</f>
        <v>272.85581758101404</v>
      </c>
      <c r="AO27" s="62">
        <f t="shared" si="36"/>
        <v>180.73985910201225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8.16</v>
      </c>
      <c r="BD27" s="13">
        <f>IF('Données projet'!$A$88&gt;35,BD26+BC27-BL26,IF(A27&lt;'Données projet'!$A$88,$BA$205^A27,IF(A27='Données projet'!$A$88,'Données projet'!$B$88,BD26+BC27-BL26)))</f>
        <v>164.90922880839534</v>
      </c>
      <c r="BE27" s="14">
        <f>BD27*VLOOKUP('Données projet'!$B$11,Paramètres!$A$1:$I$89,3,0)*VLOOKUP('Données projet'!$B$11,Paramètres!$A$1:$I$89,5,0)</f>
        <v>92.184258903892996</v>
      </c>
      <c r="BF27" s="14">
        <f t="shared" si="37"/>
        <v>25.091278194715933</v>
      </c>
      <c r="BG27" s="22">
        <f t="shared" si="7"/>
        <v>204.2548937800772</v>
      </c>
      <c r="BH27" s="62">
        <f t="shared" si="8"/>
        <v>490.25489378007717</v>
      </c>
      <c r="BI27" s="62">
        <f ca="1">AVERAGE(OFFSET($BH$3,0,0,'Données projet'!$E$11+1,1))-AVERAGE(OFFSET($H$3,0,0,'Données projet'!$E$11+1,1))</f>
        <v>282.598842734946</v>
      </c>
      <c r="BJ27" s="62">
        <f t="shared" si="38"/>
        <v>335.56869428808034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299.07832468960515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498.57760367018307</v>
      </c>
      <c r="S28" s="62">
        <f ca="1">AVERAGE(OFFSET($R$3,0,0,'Données projet'!$E$9+1,1))-AVERAGE(OFFSET($H$3,0,0,'Données projet'!$E$9+1,1))</f>
        <v>314.1401276393035</v>
      </c>
      <c r="T28" s="62">
        <f t="shared" si="34"/>
        <v>243.75878492878178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272.85581758101404</v>
      </c>
      <c r="AO28" s="62">
        <f t="shared" si="36"/>
        <v>180.73985910201225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6.8296252186796416</v>
      </c>
      <c r="AX28" s="23">
        <f t="shared" si="6"/>
        <v>6.8296252186796416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204</v>
      </c>
      <c r="BB28" s="13">
        <f>VLOOKUP(A28,'Données projet'!$A$87:$I$107,9,0)</f>
        <v>8.16</v>
      </c>
      <c r="BC28" s="13">
        <f t="array" ref="BC28">INDEX(BB:BB,MIN(IF(ISNUMBER(BB28:BB224),ROW(BB28:BB224),"")))</f>
        <v>8.16</v>
      </c>
      <c r="BD28" s="13">
        <f>IF('Données projet'!$A$88&gt;35,BD27+BC28-BL27,IF(A28&lt;'Données projet'!$A$88,$BA$205^A28,IF(A28='Données projet'!$A$88,'Données projet'!$B$88,BD27+BC28-BL27)))</f>
        <v>204</v>
      </c>
      <c r="BE28" s="14">
        <f>BD28*VLOOKUP('Données projet'!$B$11,Paramètres!$A$1:$I$89,3,0)*VLOOKUP('Données projet'!$B$11,Paramètres!$A$1:$I$89,5,0)</f>
        <v>114.036</v>
      </c>
      <c r="BF28" s="14">
        <f t="shared" si="37"/>
        <v>30.279894261296121</v>
      </c>
      <c r="BG28" s="22">
        <f t="shared" si="7"/>
        <v>251.35018250509077</v>
      </c>
      <c r="BH28" s="62">
        <f t="shared" si="8"/>
        <v>538.57240472731303</v>
      </c>
      <c r="BI28" s="62">
        <f ca="1">AVERAGE(OFFSET($BH$3,0,0,'Données projet'!$E$11+1,1))-AVERAGE(OFFSET($H$3,0,0,'Données projet'!$E$11+1,1))</f>
        <v>282.598842734946</v>
      </c>
      <c r="BJ28" s="62">
        <f t="shared" si="38"/>
        <v>335.56869428808034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0.27500000000000002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2.8437246050145411</v>
      </c>
      <c r="BR28" s="23">
        <f>EXP(-LN(2)/2)*BR27+(1-EXP(-LN(2)/2))/(LN(2)/2)*BL28*BO28*VLOOKUP('Données projet'!$B$11,Paramètres!$A$1:$I$89,3,0)*0.475*44/12</f>
        <v>4.4304249802210611</v>
      </c>
      <c r="BS28" s="24">
        <f t="shared" si="9"/>
        <v>7.2741495852356017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300.7251136741441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509.09028488487695</v>
      </c>
      <c r="S29" s="62">
        <f ca="1">AVERAGE(OFFSET($R$3,0,0,'Données projet'!$E$9+1,1))-AVERAGE(OFFSET($H$3,0,0,'Données projet'!$E$9+1,1))</f>
        <v>314.1401276393035</v>
      </c>
      <c r="T29" s="62">
        <f t="shared" si="34"/>
        <v>243.75878492878178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272.85581758101404</v>
      </c>
      <c r="AO29" s="62">
        <f t="shared" si="36"/>
        <v>180.73985910201225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4.8292743050910323</v>
      </c>
      <c r="AX29" s="23">
        <f t="shared" si="6"/>
        <v>4.8292743050910323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19.2</v>
      </c>
      <c r="BD29" s="13">
        <f>IF('Données projet'!$A$88&gt;35,BD28+BC29-BL28,IF(A29&lt;'Données projet'!$A$88,$BA$205^A29,IF(A29='Données projet'!$A$88,'Données projet'!$B$88,BD28+BC29-BL28)))</f>
        <v>209.2</v>
      </c>
      <c r="BE29" s="14">
        <f>BD29*VLOOKUP('Données projet'!$B$11,Paramètres!$A$1:$I$89,3,0)*VLOOKUP('Données projet'!$B$11,Paramètres!$A$1:$I$89,5,0)</f>
        <v>116.94279999999999</v>
      </c>
      <c r="BF29" s="14">
        <f t="shared" si="37"/>
        <v>30.960890181326164</v>
      </c>
      <c r="BG29" s="22">
        <f t="shared" si="7"/>
        <v>257.59892706580973</v>
      </c>
      <c r="BH29" s="62">
        <f t="shared" si="8"/>
        <v>546.04337151025425</v>
      </c>
      <c r="BI29" s="62">
        <f ca="1">AVERAGE(OFFSET($BH$3,0,0,'Données projet'!$E$11+1,1))-AVERAGE(OFFSET($H$3,0,0,'Données projet'!$E$11+1,1))</f>
        <v>282.598842734946</v>
      </c>
      <c r="BJ29" s="62">
        <f t="shared" si="38"/>
        <v>335.56869428808034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2.7659628061454407</v>
      </c>
      <c r="BR29" s="23">
        <f>EXP(-LN(2)/2)*BR28+(1-EXP(-LN(2)/2))/(LN(2)/2)*BL29*BO29*VLOOKUP('Données projet'!$B$11,Paramètres!$A$1:$I$89,3,0)*0.475*44/12</f>
        <v>3.1327835470525884</v>
      </c>
      <c r="BS29" s="24">
        <f t="shared" si="9"/>
        <v>5.8987463531980291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302.37025036719342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519.59398701671637</v>
      </c>
      <c r="S30" s="62">
        <f ca="1">AVERAGE(OFFSET($R$3,0,0,'Données projet'!$E$9+1,1))-AVERAGE(OFFSET($H$3,0,0,'Données projet'!$E$9+1,1))</f>
        <v>314.1401276393035</v>
      </c>
      <c r="T30" s="62">
        <f t="shared" si="34"/>
        <v>243.75878492878178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272.85581758101404</v>
      </c>
      <c r="AO30" s="62">
        <f t="shared" si="36"/>
        <v>180.73985910201225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3.4148126093398212</v>
      </c>
      <c r="AX30" s="23">
        <f t="shared" si="6"/>
        <v>3.4148126093398212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19.2</v>
      </c>
      <c r="BD30" s="13">
        <f>IF('Données projet'!$A$88&gt;35,BD29+BC30-BL29,IF(A30&lt;'Données projet'!$A$88,$BA$205^A30,IF(A30='Données projet'!$A$88,'Données projet'!$B$88,BD29+BC30-BL29)))</f>
        <v>228.39999999999998</v>
      </c>
      <c r="BE30" s="14">
        <f>BD30*VLOOKUP('Données projet'!$B$11,Paramètres!$A$1:$I$89,3,0)*VLOOKUP('Données projet'!$B$11,Paramètres!$A$1:$I$89,5,0)</f>
        <v>127.67559999999999</v>
      </c>
      <c r="BF30" s="14">
        <f t="shared" si="37"/>
        <v>33.458696068482496</v>
      </c>
      <c r="BG30" s="22">
        <f t="shared" si="7"/>
        <v>280.64223231927366</v>
      </c>
      <c r="BH30" s="62">
        <f t="shared" si="8"/>
        <v>570.30889898594035</v>
      </c>
      <c r="BI30" s="62">
        <f ca="1">AVERAGE(OFFSET($BH$3,0,0,'Données projet'!$E$11+1,1))-AVERAGE(OFFSET($H$3,0,0,'Données projet'!$E$11+1,1))</f>
        <v>282.598842734946</v>
      </c>
      <c r="BJ30" s="62">
        <f t="shared" si="38"/>
        <v>335.56869428808034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2.6903274077557313</v>
      </c>
      <c r="BR30" s="23">
        <f>EXP(-LN(2)/2)*BR29+(1-EXP(-LN(2)/2))/(LN(2)/2)*BL30*BO30*VLOOKUP('Données projet'!$B$11,Paramètres!$A$1:$I$89,3,0)*0.475*44/12</f>
        <v>2.215212490110531</v>
      </c>
      <c r="BS30" s="24">
        <f t="shared" si="9"/>
        <v>4.9055398978662623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304.01380297262153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530.08912398182281</v>
      </c>
      <c r="S31" s="62">
        <f ca="1">AVERAGE(OFFSET($R$3,0,0,'Données projet'!$E$9+1,1))-AVERAGE(OFFSET($H$3,0,0,'Données projet'!$E$9+1,1))</f>
        <v>314.1401276393035</v>
      </c>
      <c r="T31" s="62">
        <f t="shared" si="34"/>
        <v>243.75878492878178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272.85581758101404</v>
      </c>
      <c r="AO31" s="62">
        <f t="shared" si="36"/>
        <v>180.73985910201225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2.4146371525455166</v>
      </c>
      <c r="AX31" s="23">
        <f t="shared" si="6"/>
        <v>2.4146371525455166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19.2</v>
      </c>
      <c r="BD31" s="13">
        <f>IF('Données projet'!$A$88&gt;35,BD30+BC31-BL30,IF(A31&lt;'Données projet'!$A$88,$BA$205^A31,IF(A31='Données projet'!$A$88,'Données projet'!$B$88,BD30+BC31-BL30)))</f>
        <v>247.59999999999997</v>
      </c>
      <c r="BE31" s="14">
        <f>BD31*VLOOKUP('Données projet'!$B$11,Paramètres!$A$1:$I$89,3,0)*VLOOKUP('Données projet'!$B$11,Paramètres!$A$1:$I$89,5,0)</f>
        <v>138.4084</v>
      </c>
      <c r="BF31" s="14">
        <f t="shared" si="37"/>
        <v>35.932150011539875</v>
      </c>
      <c r="BG31" s="22">
        <f t="shared" si="7"/>
        <v>303.64312460343194</v>
      </c>
      <c r="BH31" s="62">
        <f t="shared" si="8"/>
        <v>594.53201349232086</v>
      </c>
      <c r="BI31" s="62">
        <f ca="1">AVERAGE(OFFSET($BH$3,0,0,'Données projet'!$E$11+1,1))-AVERAGE(OFFSET($H$3,0,0,'Données projet'!$E$11+1,1))</f>
        <v>282.598842734946</v>
      </c>
      <c r="BJ31" s="62">
        <f t="shared" si="38"/>
        <v>335.56869428808034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2.6167602633124813</v>
      </c>
      <c r="BR31" s="23">
        <f>EXP(-LN(2)/2)*BR30+(1-EXP(-LN(2)/2))/(LN(2)/2)*BL31*BO31*VLOOKUP('Données projet'!$B$11,Paramètres!$A$1:$I$89,3,0)*0.475*44/12</f>
        <v>1.5663917735262944</v>
      </c>
      <c r="BS31" s="24">
        <f t="shared" si="9"/>
        <v>4.1831520368387753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305.65583454642342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540.57607495026184</v>
      </c>
      <c r="S32" s="62">
        <f ca="1">AVERAGE(OFFSET($R$3,0,0,'Données projet'!$E$9+1,1))-AVERAGE(OFFSET($H$3,0,0,'Données projet'!$E$9+1,1))</f>
        <v>314.1401276393035</v>
      </c>
      <c r="T32" s="62">
        <f t="shared" si="34"/>
        <v>243.75878492878178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272.85581758101404</v>
      </c>
      <c r="AO32" s="62">
        <f t="shared" si="36"/>
        <v>180.73985910201225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1.7074063046699108</v>
      </c>
      <c r="AX32" s="23">
        <f t="shared" si="6"/>
        <v>1.7074063046699108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19.2</v>
      </c>
      <c r="BD32" s="13">
        <f>IF('Données projet'!$A$88&gt;35,BD31+BC32-BL31,IF(A32&lt;'Données projet'!$A$88,$BA$205^A32,IF(A32='Données projet'!$A$88,'Données projet'!$B$88,BD31+BC32-BL31)))</f>
        <v>266.79999999999995</v>
      </c>
      <c r="BE32" s="14">
        <f>BD32*VLOOKUP('Données projet'!$B$11,Paramètres!$A$1:$I$89,3,0)*VLOOKUP('Données projet'!$B$11,Paramètres!$A$1:$I$89,5,0)</f>
        <v>149.14119999999997</v>
      </c>
      <c r="BF32" s="14">
        <f t="shared" si="37"/>
        <v>38.383355068273794</v>
      </c>
      <c r="BG32" s="22">
        <f t="shared" si="7"/>
        <v>326.60526674391014</v>
      </c>
      <c r="BH32" s="62">
        <f t="shared" si="8"/>
        <v>618.71637785502128</v>
      </c>
      <c r="BI32" s="62">
        <f ca="1">AVERAGE(OFFSET($BH$3,0,0,'Données projet'!$E$11+1,1))-AVERAGE(OFFSET($H$3,0,0,'Données projet'!$E$11+1,1))</f>
        <v>282.598842734946</v>
      </c>
      <c r="BJ32" s="62">
        <f t="shared" si="38"/>
        <v>335.56869428808034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2.5452048163027601</v>
      </c>
      <c r="BR32" s="23">
        <f>EXP(-LN(2)/2)*BR31+(1-EXP(-LN(2)/2))/(LN(2)/2)*BL32*BO32*VLOOKUP('Données projet'!$B$11,Paramètres!$A$1:$I$89,3,0)*0.475*44/12</f>
        <v>1.1076062450552657</v>
      </c>
      <c r="BS32" s="24">
        <f t="shared" si="9"/>
        <v>3.652811061358026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307.2964035492613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314.1401276393035</v>
      </c>
      <c r="T33" s="62">
        <f t="shared" si="34"/>
        <v>243.75878492878178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0.11000000000000001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272.85581758101404</v>
      </c>
      <c r="AO33" s="62">
        <f t="shared" si="36"/>
        <v>180.73985910201225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19.135084775306815</v>
      </c>
      <c r="AX33" s="23">
        <f t="shared" si="6"/>
        <v>19.135084775306815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286</v>
      </c>
      <c r="BB33" s="13">
        <f>VLOOKUP(A33,'Données projet'!$A$87:$I$107,9,0)</f>
        <v>19.2</v>
      </c>
      <c r="BC33" s="13">
        <f t="array" ref="BC33">INDEX(BB:BB,MIN(IF(ISNUMBER(BB33:BB229),ROW(BB33:BB229),"")))</f>
        <v>19.2</v>
      </c>
      <c r="BD33" s="13">
        <f>IF('Données projet'!$A$88&gt;35,BD32+BC33-BL32,IF(A33&lt;'Données projet'!$A$88,$BA$205^A33,IF(A33='Données projet'!$A$88,'Données projet'!$B$88,BD32+BC33-BL32)))</f>
        <v>285.99999999999994</v>
      </c>
      <c r="BE33" s="14">
        <f>BD33*VLOOKUP('Données projet'!$B$11,Paramètres!$A$1:$I$89,3,0)*VLOOKUP('Données projet'!$B$11,Paramètres!$A$1:$I$89,5,0)</f>
        <v>159.87399999999997</v>
      </c>
      <c r="BF33" s="14">
        <f t="shared" si="37"/>
        <v>40.81409445206225</v>
      </c>
      <c r="BG33" s="22">
        <f t="shared" si="7"/>
        <v>349.53176450400838</v>
      </c>
      <c r="BH33" s="62">
        <f t="shared" si="8"/>
        <v>642.86509783734164</v>
      </c>
      <c r="BI33" s="62">
        <f ca="1">AVERAGE(OFFSET($BH$3,0,0,'Données projet'!$E$11+1,1))-AVERAGE(OFFSET($H$3,0,0,'Données projet'!$E$11+1,1))</f>
        <v>282.598842734946</v>
      </c>
      <c r="BJ33" s="62">
        <f t="shared" si="38"/>
        <v>335.56869428808034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0.11000000000000001</v>
      </c>
      <c r="BN33" s="17">
        <f>IF(ISNA(VLOOKUP(A33,'Données projet'!$A$87:$I$107,6,0)),0%,VLOOKUP(A33,'Données projet'!$A$87:$I$107,6,0)*VLOOKUP('Données projet'!$B$11,Paramètres!$A$1:$I$89,7,0))</f>
        <v>0.22000000000000003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3.4259588313290479</v>
      </c>
      <c r="BQ33" s="23">
        <f>EXP(-LN(2)/25)*BQ32+(1-EXP(-LN(2)/25))/(LN(2)/25)*Calculateur!BL33*Calculateur!BN33*VLOOKUP('Données projet'!$B$11,Paramètres!$A$1:$I$89,3,0)*0.475*44/12</f>
        <v>9.3005451087893576</v>
      </c>
      <c r="BR33" s="23">
        <f>EXP(-LN(2)/2)*BR32+(1-EXP(-LN(2)/2))/(LN(2)/2)*BL33*BO33*VLOOKUP('Données projet'!$B$11,Paramètres!$A$1:$I$89,3,0)*0.475*44/12</f>
        <v>11.416215839293695</v>
      </c>
      <c r="BS33" s="24">
        <f t="shared" si="9"/>
        <v>24.142719779412101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308.93556432326409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314.1401276393035</v>
      </c>
      <c r="T34" s="62">
        <f t="shared" si="34"/>
        <v>243.75878492878178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272.85581758101404</v>
      </c>
      <c r="AO34" s="62">
        <f t="shared" si="36"/>
        <v>180.73985910201225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13.530548203198913</v>
      </c>
      <c r="AX34" s="23">
        <f t="shared" si="6"/>
        <v>13.530548203198913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23.4</v>
      </c>
      <c r="BD34" s="13">
        <f>IF('Données projet'!$A$88&gt;35,BD33+BC34-BL33,IF(A34&lt;'Données projet'!$A$88,$BA$205^A34,IF(A34='Données projet'!$A$88,'Données projet'!$B$88,BD33+BC34-BL33)))</f>
        <v>267.39999999999992</v>
      </c>
      <c r="BE34" s="14">
        <f>BD34*VLOOKUP('Données projet'!$B$11,Paramètres!$A$1:$I$89,3,0)*VLOOKUP('Données projet'!$B$11,Paramètres!$A$1:$I$89,5,0)</f>
        <v>149.47659999999996</v>
      </c>
      <c r="BF34" s="14">
        <f t="shared" si="37"/>
        <v>38.459616906120935</v>
      </c>
      <c r="BG34" s="22">
        <f t="shared" si="7"/>
        <v>327.32224444482722</v>
      </c>
      <c r="BH34" s="62">
        <f t="shared" si="8"/>
        <v>620.65557777816048</v>
      </c>
      <c r="BI34" s="62">
        <f ca="1">AVERAGE(OFFSET($BH$3,0,0,'Données projet'!$E$11+1,1))-AVERAGE(OFFSET($H$3,0,0,'Données projet'!$E$11+1,1))</f>
        <v>282.598842734946</v>
      </c>
      <c r="BJ34" s="62">
        <f t="shared" si="38"/>
        <v>335.56869428808034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3.3587778682752387</v>
      </c>
      <c r="BQ34" s="23">
        <f>EXP(-LN(2)/25)*BQ33+(1-EXP(-LN(2)/25))/(LN(2)/25)*Calculateur!BL34*Calculateur!BN34*VLOOKUP('Données projet'!$B$11,Paramètres!$A$1:$I$89,3,0)*0.475*44/12</f>
        <v>9.0462212136951017</v>
      </c>
      <c r="BR34" s="23">
        <f>EXP(-LN(2)/2)*BR33+(1-EXP(-LN(2)/2))/(LN(2)/2)*BL34*BO34*VLOOKUP('Données projet'!$B$11,Paramètres!$A$1:$I$89,3,0)*0.475*44/12</f>
        <v>8.0724836354538461</v>
      </c>
      <c r="BS34" s="24">
        <f t="shared" si="9"/>
        <v>20.477482717424188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310.57336750557573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314.1401276393035</v>
      </c>
      <c r="T35" s="62">
        <f t="shared" si="34"/>
        <v>243.75878492878178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272.85581758101404</v>
      </c>
      <c r="AO35" s="62">
        <f t="shared" si="36"/>
        <v>180.73985910201225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9.5675423876534076</v>
      </c>
      <c r="AX35" s="23">
        <f t="shared" si="6"/>
        <v>9.5675423876534076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23.4</v>
      </c>
      <c r="BD35" s="13">
        <f>IF('Données projet'!$A$88&gt;35,BD34+BC35-BL34,IF(A35&lt;'Données projet'!$A$88,$BA$205^A35,IF(A35='Données projet'!$A$88,'Données projet'!$B$88,BD34+BC35-BL34)))</f>
        <v>290.7999999999999</v>
      </c>
      <c r="BE35" s="14">
        <f>BD35*VLOOKUP('Données projet'!$B$11,Paramètres!$A$1:$I$89,3,0)*VLOOKUP('Données projet'!$B$11,Paramètres!$A$1:$I$89,5,0)</f>
        <v>162.55719999999994</v>
      </c>
      <c r="BF35" s="14">
        <f t="shared" si="37"/>
        <v>41.418765655521881</v>
      </c>
      <c r="BG35" s="22">
        <f t="shared" si="7"/>
        <v>355.25814018336717</v>
      </c>
      <c r="BH35" s="62">
        <f t="shared" si="8"/>
        <v>648.59147351670049</v>
      </c>
      <c r="BI35" s="62">
        <f ca="1">AVERAGE(OFFSET($BH$3,0,0,'Données projet'!$E$11+1,1))-AVERAGE(OFFSET($H$3,0,0,'Données projet'!$E$11+1,1))</f>
        <v>282.598842734946</v>
      </c>
      <c r="BJ35" s="62">
        <f t="shared" si="38"/>
        <v>335.56869428808034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3.2929142829305733</v>
      </c>
      <c r="BQ35" s="23">
        <f>EXP(-LN(2)/25)*BQ34+(1-EXP(-LN(2)/25))/(LN(2)/25)*Calculateur!BL35*Calculateur!BN35*VLOOKUP('Données projet'!$B$11,Paramètres!$A$1:$I$89,3,0)*0.475*44/12</f>
        <v>8.7988518188865115</v>
      </c>
      <c r="BR35" s="23">
        <f>EXP(-LN(2)/2)*BR34+(1-EXP(-LN(2)/2))/(LN(2)/2)*BL35*BO35*VLOOKUP('Données projet'!$B$11,Paramètres!$A$1:$I$89,3,0)*0.475*44/12</f>
        <v>5.7081079196468485</v>
      </c>
      <c r="BS35" s="24">
        <f t="shared" si="9"/>
        <v>17.799874021463932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312.20986038875799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314.1401276393035</v>
      </c>
      <c r="T36" s="62">
        <f t="shared" si="34"/>
        <v>243.75878492878178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272.85581758101404</v>
      </c>
      <c r="AO36" s="62">
        <f t="shared" si="36"/>
        <v>180.73985910201225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6.7652741015994566</v>
      </c>
      <c r="AX36" s="23">
        <f t="shared" si="6"/>
        <v>6.7652741015994566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23.4</v>
      </c>
      <c r="BD36" s="13">
        <f>IF('Données projet'!$A$88&gt;35,BD35+BC36-BL35,IF(A36&lt;'Données projet'!$A$88,$BA$205^A36,IF(A36='Données projet'!$A$88,'Données projet'!$B$88,BD35+BC36-BL35)))</f>
        <v>314.19999999999987</v>
      </c>
      <c r="BE36" s="14">
        <f>BD36*VLOOKUP('Données projet'!$B$11,Paramètres!$A$1:$I$89,3,0)*VLOOKUP('Données projet'!$B$11,Paramètres!$A$1:$I$89,5,0)</f>
        <v>175.63779999999991</v>
      </c>
      <c r="BF36" s="14">
        <f t="shared" si="37"/>
        <v>44.350295680286266</v>
      </c>
      <c r="BG36" s="22">
        <f t="shared" si="7"/>
        <v>383.14593330983166</v>
      </c>
      <c r="BH36" s="62">
        <f t="shared" si="8"/>
        <v>676.47926664316492</v>
      </c>
      <c r="BI36" s="62">
        <f ca="1">AVERAGE(OFFSET($BH$3,0,0,'Données projet'!$E$11+1,1))-AVERAGE(OFFSET($H$3,0,0,'Données projet'!$E$11+1,1))</f>
        <v>282.598842734946</v>
      </c>
      <c r="BJ36" s="62">
        <f t="shared" si="38"/>
        <v>335.56869428808034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3.2283422423216965</v>
      </c>
      <c r="BQ36" s="23">
        <f>EXP(-LN(2)/25)*BQ35+(1-EXP(-LN(2)/25))/(LN(2)/25)*Calculateur!BL36*Calculateur!BN36*VLOOKUP('Données projet'!$B$11,Paramètres!$A$1:$I$89,3,0)*0.475*44/12</f>
        <v>8.5582467531875519</v>
      </c>
      <c r="BR36" s="23">
        <f>EXP(-LN(2)/2)*BR35+(1-EXP(-LN(2)/2))/(LN(2)/2)*BL36*BO36*VLOOKUP('Données projet'!$B$11,Paramètres!$A$1:$I$89,3,0)*0.475*44/12</f>
        <v>4.036241817726923</v>
      </c>
      <c r="BS36" s="24">
        <f t="shared" si="9"/>
        <v>15.822830813236171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313.84508723628062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314.1401276393035</v>
      </c>
      <c r="T37" s="62">
        <f t="shared" si="34"/>
        <v>243.75878492878178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272.85581758101404</v>
      </c>
      <c r="AO37" s="62">
        <f t="shared" si="36"/>
        <v>180.73985910201225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4.7837711938267038</v>
      </c>
      <c r="AX37" s="23">
        <f t="shared" si="6"/>
        <v>4.7837711938267038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23.4</v>
      </c>
      <c r="BD37" s="13">
        <f>IF('Données projet'!$A$88&gt;35,BD36+BC37-BL36,IF(A37&lt;'Données projet'!$A$88,$BA$205^A37,IF(A37='Données projet'!$A$88,'Données projet'!$B$88,BD36+BC37-BL36)))</f>
        <v>337.59999999999985</v>
      </c>
      <c r="BE37" s="14">
        <f>BD37*VLOOKUP('Données projet'!$B$11,Paramètres!$A$1:$I$89,3,0)*VLOOKUP('Données projet'!$B$11,Paramètres!$A$1:$I$89,5,0)</f>
        <v>188.71839999999992</v>
      </c>
      <c r="BF37" s="14">
        <f t="shared" si="37"/>
        <v>47.25649777404162</v>
      </c>
      <c r="BG37" s="22">
        <f t="shared" si="7"/>
        <v>410.98961362312235</v>
      </c>
      <c r="BH37" s="62">
        <f t="shared" si="8"/>
        <v>704.32294695645567</v>
      </c>
      <c r="BI37" s="62">
        <f ca="1">AVERAGE(OFFSET($BH$3,0,0,'Données projet'!$E$11+1,1))-AVERAGE(OFFSET($H$3,0,0,'Données projet'!$E$11+1,1))</f>
        <v>282.598842734946</v>
      </c>
      <c r="BJ37" s="62">
        <f t="shared" si="38"/>
        <v>335.56869428808034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3.1650364200441041</v>
      </c>
      <c r="BQ37" s="23">
        <f>EXP(-LN(2)/25)*BQ36+(1-EXP(-LN(2)/25))/(LN(2)/25)*Calculateur!BL37*Calculateur!BN37*VLOOKUP('Données projet'!$B$11,Paramètres!$A$1:$I$89,3,0)*0.475*44/12</f>
        <v>8.3242210456630019</v>
      </c>
      <c r="BR37" s="23">
        <f>EXP(-LN(2)/2)*BR36+(1-EXP(-LN(2)/2))/(LN(2)/2)*BL37*BO37*VLOOKUP('Données projet'!$B$11,Paramètres!$A$1:$I$89,3,0)*0.475*44/12</f>
        <v>2.8540539598234242</v>
      </c>
      <c r="BS37" s="24">
        <f t="shared" si="9"/>
        <v>14.34331142553053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315.47908955985213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314.1401276393035</v>
      </c>
      <c r="T38" s="62">
        <f t="shared" si="34"/>
        <v>243.75878492878178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272.85581758101404</v>
      </c>
      <c r="AO38" s="62">
        <f t="shared" si="36"/>
        <v>180.73985910201225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3.3826370507997283</v>
      </c>
      <c r="AX38" s="23">
        <f t="shared" si="6"/>
        <v>3.3826370507997283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361</v>
      </c>
      <c r="BB38" s="13">
        <f>VLOOKUP(A38,'Données projet'!$A$87:$I$107,9,0)</f>
        <v>23.4</v>
      </c>
      <c r="BC38" s="13">
        <f t="array" ref="BC38">INDEX(BB:BB,MIN(IF(ISNUMBER(BB38:BB234),ROW(BB38:BB234),"")))</f>
        <v>23.4</v>
      </c>
      <c r="BD38" s="13">
        <f>IF('Données projet'!$A$88&gt;35,BD37+BC38-BL37,IF(A38&lt;'Données projet'!$A$88,$BA$205^A38,IF(A38='Données projet'!$A$88,'Données projet'!$B$88,BD37+BC38-BL37)))</f>
        <v>360.99999999999983</v>
      </c>
      <c r="BE38" s="14">
        <f>BD38*VLOOKUP('Données projet'!$B$11,Paramètres!$A$1:$I$89,3,0)*VLOOKUP('Données projet'!$B$11,Paramètres!$A$1:$I$89,5,0)</f>
        <v>201.79899999999992</v>
      </c>
      <c r="BF38" s="14">
        <f t="shared" si="37"/>
        <v>50.139327187086316</v>
      </c>
      <c r="BG38" s="22">
        <f t="shared" si="7"/>
        <v>438.79258651750848</v>
      </c>
      <c r="BH38" s="62">
        <f t="shared" si="8"/>
        <v>732.1259198508418</v>
      </c>
      <c r="BI38" s="62">
        <f ca="1">AVERAGE(OFFSET($BH$3,0,0,'Données projet'!$E$11+1,1))-AVERAGE(OFFSET($H$3,0,0,'Données projet'!$E$11+1,1))</f>
        <v>282.598842734946</v>
      </c>
      <c r="BJ38" s="62">
        <f t="shared" si="38"/>
        <v>335.56869428808034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0.22000000000000003</v>
      </c>
      <c r="BN38" s="17">
        <f>IF(ISNA(VLOOKUP(A38,'Données projet'!$A$87:$I$107,6,0)),0%,VLOOKUP(A38,'Données projet'!$A$87:$I$107,6,0)*VLOOKUP('Données projet'!$B$11,Paramètres!$A$1:$I$89,7,0))</f>
        <v>0.16500000000000001</v>
      </c>
      <c r="BO38" s="17">
        <f>IF(ISNA(VLOOKUP(A38,'Données projet'!$A$87:$I$107,7,0)),0%,VLOOKUP(A38,'Données projet'!$A$87:$I$107,7,0))</f>
        <v>0.3</v>
      </c>
      <c r="BP38" s="23">
        <f>EXP(-LN(2)/35)*BP37+(1-EXP(-LN(2)/35))/(LN(2)/35)*BL38*BM38*VLOOKUP('Données projet'!$B$11,Paramètres!$A$1:$I$89,3,0)*0.475*44/12</f>
        <v>11.096875926096414</v>
      </c>
      <c r="BQ38" s="23">
        <f>EXP(-LN(2)/25)*BQ37+(1-EXP(-LN(2)/25))/(LN(2)/25)*Calculateur!BL38*Calculateur!BN38*VLOOKUP('Données projet'!$B$11,Paramètres!$A$1:$I$89,3,0)*0.475*44/12</f>
        <v>14.068416453948124</v>
      </c>
      <c r="BR38" s="23">
        <f>EXP(-LN(2)/2)*BR37+(1-EXP(-LN(2)/2))/(LN(2)/2)*BL38*BO38*VLOOKUP('Données projet'!$B$11,Paramètres!$A$1:$I$89,3,0)*0.475*44/12</f>
        <v>11.322013367327688</v>
      </c>
      <c r="BS38" s="24">
        <f t="shared" si="9"/>
        <v>36.487305747372233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317.11190636416472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314.1401276393035</v>
      </c>
      <c r="T39" s="62">
        <f t="shared" si="34"/>
        <v>243.75878492878178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272.85581758101404</v>
      </c>
      <c r="AO39" s="62">
        <f t="shared" si="36"/>
        <v>180.73985910201225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2.3918855969133519</v>
      </c>
      <c r="AX39" s="23">
        <f t="shared" si="6"/>
        <v>2.3918855969133519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22.2</v>
      </c>
      <c r="BD39" s="13">
        <f>IF('Données projet'!$A$88&gt;35,BD38+BC39-BL38,IF(A39&lt;'Données projet'!$A$88,$BA$205^A39,IF(A39='Données projet'!$A$88,'Données projet'!$B$88,BD38+BC39-BL38)))</f>
        <v>334.19999999999982</v>
      </c>
      <c r="BE39" s="14">
        <f>BD39*VLOOKUP('Données projet'!$B$11,Paramètres!$A$1:$I$89,3,0)*VLOOKUP('Données projet'!$B$11,Paramètres!$A$1:$I$89,5,0)</f>
        <v>186.81779999999992</v>
      </c>
      <c r="BF39" s="14">
        <f t="shared" si="37"/>
        <v>46.835723519705653</v>
      </c>
      <c r="BG39" s="22">
        <f t="shared" si="7"/>
        <v>406.94655346348719</v>
      </c>
      <c r="BH39" s="62">
        <f t="shared" si="8"/>
        <v>700.27988679682051</v>
      </c>
      <c r="BI39" s="62">
        <f ca="1">AVERAGE(OFFSET($BH$3,0,0,'Données projet'!$E$11+1,1))-AVERAGE(OFFSET($H$3,0,0,'Données projet'!$E$11+1,1))</f>
        <v>282.598842734946</v>
      </c>
      <c r="BJ39" s="62">
        <f t="shared" si="38"/>
        <v>335.56869428808034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10.879272957611652</v>
      </c>
      <c r="BQ39" s="23">
        <f>EXP(-LN(2)/25)*BQ38+(1-EXP(-LN(2)/25))/(LN(2)/25)*Calculateur!BL39*Calculateur!BN39*VLOOKUP('Données projet'!$B$11,Paramètres!$A$1:$I$89,3,0)*0.475*44/12</f>
        <v>13.683714866189046</v>
      </c>
      <c r="BR39" s="23">
        <f>EXP(-LN(2)/2)*BR38+(1-EXP(-LN(2)/2))/(LN(2)/2)*BL39*BO39*VLOOKUP('Données projet'!$B$11,Paramètres!$A$1:$I$89,3,0)*0.475*44/12</f>
        <v>8.0058724287221459</v>
      </c>
      <c r="BS39" s="24">
        <f t="shared" si="9"/>
        <v>32.568860252522839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318.74357436368058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314.1401276393035</v>
      </c>
      <c r="T40" s="62">
        <f t="shared" si="34"/>
        <v>243.75878492878178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272.85581758101404</v>
      </c>
      <c r="AO40" s="62">
        <f t="shared" si="36"/>
        <v>180.73985910201225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1.6913185253998642</v>
      </c>
      <c r="AX40" s="23">
        <f t="shared" si="6"/>
        <v>1.6913185253998642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22.2</v>
      </c>
      <c r="BD40" s="13">
        <f>IF('Données projet'!$A$88&gt;35,BD39+BC40-BL39,IF(A40&lt;'Données projet'!$A$88,$BA$205^A40,IF(A40='Données projet'!$A$88,'Données projet'!$B$88,BD39+BC40-BL39)))</f>
        <v>356.39999999999981</v>
      </c>
      <c r="BE40" s="14">
        <f>BD40*VLOOKUP('Données projet'!$B$11,Paramètres!$A$1:$I$89,3,0)*VLOOKUP('Données projet'!$B$11,Paramètres!$A$1:$I$89,5,0)</f>
        <v>199.22759999999991</v>
      </c>
      <c r="BF40" s="14">
        <f t="shared" si="37"/>
        <v>49.574379374190791</v>
      </c>
      <c r="BG40" s="22">
        <f t="shared" si="7"/>
        <v>433.33011407671546</v>
      </c>
      <c r="BH40" s="62">
        <f t="shared" si="8"/>
        <v>726.66344741004878</v>
      </c>
      <c r="BI40" s="62">
        <f ca="1">AVERAGE(OFFSET($BH$3,0,0,'Données projet'!$E$11+1,1))-AVERAGE(OFFSET($H$3,0,0,'Données projet'!$E$11+1,1))</f>
        <v>282.598842734946</v>
      </c>
      <c r="BJ40" s="62">
        <f t="shared" si="38"/>
        <v>335.56869428808034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10.66593705061417</v>
      </c>
      <c r="BQ40" s="23">
        <f>EXP(-LN(2)/25)*BQ39+(1-EXP(-LN(2)/25))/(LN(2)/25)*Calculateur!BL40*Calculateur!BN40*VLOOKUP('Données projet'!$B$11,Paramètres!$A$1:$I$89,3,0)*0.475*44/12</f>
        <v>13.309532963577816</v>
      </c>
      <c r="BR40" s="23">
        <f>EXP(-LN(2)/2)*BR39+(1-EXP(-LN(2)/2))/(LN(2)/2)*BL40*BO40*VLOOKUP('Données projet'!$B$11,Paramètres!$A$1:$I$89,3,0)*0.475*44/12</f>
        <v>5.6610066836638442</v>
      </c>
      <c r="BS40" s="24">
        <f t="shared" si="9"/>
        <v>29.636476697855827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320.37412817532328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314.1401276393035</v>
      </c>
      <c r="T41" s="62">
        <f t="shared" si="34"/>
        <v>243.75878492878178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272.85581758101404</v>
      </c>
      <c r="AO41" s="62">
        <f t="shared" si="36"/>
        <v>180.73985910201225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1.1959427984566759</v>
      </c>
      <c r="AX41" s="23">
        <f t="shared" si="6"/>
        <v>1.1959427984566759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22.2</v>
      </c>
      <c r="BD41" s="13">
        <f>IF('Données projet'!$A$88&gt;35,BD40+BC41-BL40,IF(A41&lt;'Données projet'!$A$88,$BA$205^A41,IF(A41='Données projet'!$A$88,'Données projet'!$B$88,BD40+BC41-BL40)))</f>
        <v>378.5999999999998</v>
      </c>
      <c r="BE41" s="14">
        <f>BD41*VLOOKUP('Données projet'!$B$11,Paramètres!$A$1:$I$89,3,0)*VLOOKUP('Données projet'!$B$11,Paramètres!$A$1:$I$89,5,0)</f>
        <v>211.6373999999999</v>
      </c>
      <c r="BF41" s="14">
        <f t="shared" si="37"/>
        <v>52.293236890555093</v>
      </c>
      <c r="BG41" s="22">
        <f t="shared" si="7"/>
        <v>459.6791925843832</v>
      </c>
      <c r="BH41" s="62">
        <f t="shared" si="8"/>
        <v>753.01252591771652</v>
      </c>
      <c r="BI41" s="62">
        <f ca="1">AVERAGE(OFFSET($BH$3,0,0,'Données projet'!$E$11+1,1))-AVERAGE(OFFSET($H$3,0,0,'Données projet'!$E$11+1,1))</f>
        <v>282.598842734946</v>
      </c>
      <c r="BJ41" s="62">
        <f t="shared" si="38"/>
        <v>335.56869428808034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10.456784530630854</v>
      </c>
      <c r="BQ41" s="23">
        <f>EXP(-LN(2)/25)*BQ40+(1-EXP(-LN(2)/25))/(LN(2)/25)*Calculateur!BL41*Calculateur!BN41*VLOOKUP('Données projet'!$B$11,Paramètres!$A$1:$I$89,3,0)*0.475*44/12</f>
        <v>12.945583084770862</v>
      </c>
      <c r="BR41" s="23">
        <f>EXP(-LN(2)/2)*BR40+(1-EXP(-LN(2)/2))/(LN(2)/2)*BL41*BO41*VLOOKUP('Données projet'!$B$11,Paramètres!$A$1:$I$89,3,0)*0.475*44/12</f>
        <v>4.0029362143610729</v>
      </c>
      <c r="BS41" s="24">
        <f t="shared" si="9"/>
        <v>27.405303829762786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322.00360049031474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314.1401276393035</v>
      </c>
      <c r="T42" s="62">
        <f t="shared" si="34"/>
        <v>243.75878492878178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272.85581758101404</v>
      </c>
      <c r="AO42" s="62">
        <f t="shared" si="36"/>
        <v>180.73985910201225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0.84565926269993208</v>
      </c>
      <c r="AX42" s="23">
        <f t="shared" si="6"/>
        <v>0.84565926269993208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22.2</v>
      </c>
      <c r="BD42" s="13">
        <f>IF('Données projet'!$A$88&gt;35,BD41+BC42-BL41,IF(A42&lt;'Données projet'!$A$88,$BA$205^A42,IF(A42='Données projet'!$A$88,'Données projet'!$B$88,BD41+BC42-BL41)))</f>
        <v>400.79999999999978</v>
      </c>
      <c r="BE42" s="14">
        <f>BD42*VLOOKUP('Données projet'!$B$11,Paramètres!$A$1:$I$89,3,0)*VLOOKUP('Données projet'!$B$11,Paramètres!$A$1:$I$89,5,0)</f>
        <v>224.04719999999989</v>
      </c>
      <c r="BF42" s="14">
        <f t="shared" si="37"/>
        <v>54.993589228033144</v>
      </c>
      <c r="BG42" s="22">
        <f t="shared" si="7"/>
        <v>485.99604123882409</v>
      </c>
      <c r="BH42" s="62">
        <f t="shared" si="8"/>
        <v>779.32937457215735</v>
      </c>
      <c r="BI42" s="62">
        <f ca="1">AVERAGE(OFFSET($BH$3,0,0,'Données projet'!$E$11+1,1))-AVERAGE(OFFSET($H$3,0,0,'Données projet'!$E$11+1,1))</f>
        <v>282.598842734946</v>
      </c>
      <c r="BJ42" s="62">
        <f t="shared" si="38"/>
        <v>335.56869428808034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10.251733363993971</v>
      </c>
      <c r="BQ42" s="23">
        <f>EXP(-LN(2)/25)*BQ41+(1-EXP(-LN(2)/25))/(LN(2)/25)*Calculateur!BL42*Calculateur!BN42*VLOOKUP('Données projet'!$B$11,Paramètres!$A$1:$I$89,3,0)*0.475*44/12</f>
        <v>12.591585434539175</v>
      </c>
      <c r="BR42" s="23">
        <f>EXP(-LN(2)/2)*BR41+(1-EXP(-LN(2)/2))/(LN(2)/2)*BL42*BO42*VLOOKUP('Données projet'!$B$11,Paramètres!$A$1:$I$89,3,0)*0.475*44/12</f>
        <v>2.8305033418319221</v>
      </c>
      <c r="BS42" s="24">
        <f t="shared" si="9"/>
        <v>25.673822140365068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323.63202222789226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314.1401276393035</v>
      </c>
      <c r="T43" s="62">
        <f t="shared" si="34"/>
        <v>243.75878492878178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0.22000000000000003</v>
      </c>
      <c r="X43" s="17">
        <f>IF(ISNA(VLOOKUP(A43,'Données projet'!$A$35:$I$55,6,0)),0%,VLOOKUP(A43,'Données projet'!$A$35:$I$55,6,0)*VLOOKUP('Données projet'!$B$9,Paramètres!$A$1:$I$89,7,0))</f>
        <v>0.11000000000000001</v>
      </c>
      <c r="Y43" s="17">
        <f>IF(ISNA(VLOOKUP(A43,'Données projet'!$A$35:$I$55,7,0)),0%,VLOOKUP(A43,'Données projet'!$A$35:$I$55,7,0))</f>
        <v>0.4</v>
      </c>
      <c r="Z43" s="23">
        <f>EXP(-LN(2)/35)*Z42+(1-EXP(-LN(2)/35))/(LN(2)/35)*V43*W43*VLOOKUP('Données projet'!$B$9,Paramètres!$A$1:$I$89,3,0)*0.475*44/12</f>
        <v>12.019310717220847</v>
      </c>
      <c r="AA43" s="23">
        <f>EXP(-LN(2)/25)*AA42+(1-EXP(-LN(2)/25))/(LN(2)/25)*Calculateur!V43*Calculateur!X43*VLOOKUP('Données projet'!$B$9,Paramètres!$A$1:$I$89,3,0)*0.475*44/12</f>
        <v>5.98599305560536</v>
      </c>
      <c r="AB43" s="23">
        <f>EXP(-LN(2)/2)*AB42+(1-EXP(-LN(2)/2))/(LN(2)/2)*V43*Y43*VLOOKUP('Données projet'!$B$9,Paramètres!$A$1:$I$89,3,0)*0.475*44/12</f>
        <v>18.651941976531987</v>
      </c>
      <c r="AC43" s="24">
        <f t="shared" si="3"/>
        <v>36.657245749358196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272.85581758101404</v>
      </c>
      <c r="AO43" s="62">
        <f t="shared" si="36"/>
        <v>180.73985910201225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0.59797139922833797</v>
      </c>
      <c r="AX43" s="23">
        <f t="shared" si="6"/>
        <v>0.59797139922833797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423</v>
      </c>
      <c r="BB43" s="13">
        <f>VLOOKUP(A43,'Données projet'!$A$87:$I$107,9,0)</f>
        <v>22.2</v>
      </c>
      <c r="BC43" s="13">
        <f t="array" ref="BC43">INDEX(BB:BB,MIN(IF(ISNUMBER(BB43:BB239),ROW(BB43:BB239),"")))</f>
        <v>22.2</v>
      </c>
      <c r="BD43" s="13">
        <f>IF('Données projet'!$A$88&gt;35,BD42+BC43-BL42,IF(A43&lt;'Données projet'!$A$88,$BA$205^A43,IF(A43='Données projet'!$A$88,'Données projet'!$B$88,BD42+BC43-BL42)))</f>
        <v>422.99999999999977</v>
      </c>
      <c r="BE43" s="14">
        <f>BD43*VLOOKUP('Données projet'!$B$11,Paramètres!$A$1:$I$89,3,0)*VLOOKUP('Données projet'!$B$11,Paramètres!$A$1:$I$89,5,0)</f>
        <v>236.45699999999988</v>
      </c>
      <c r="BF43" s="14">
        <f t="shared" si="37"/>
        <v>57.676578200883178</v>
      </c>
      <c r="BG43" s="22">
        <f t="shared" si="7"/>
        <v>512.28264869987129</v>
      </c>
      <c r="BH43" s="62">
        <f t="shared" si="8"/>
        <v>805.61598203320455</v>
      </c>
      <c r="BI43" s="62">
        <f ca="1">AVERAGE(OFFSET($BH$3,0,0,'Données projet'!$E$11+1,1))-AVERAGE(OFFSET($H$3,0,0,'Données projet'!$E$11+1,1))</f>
        <v>282.598842734946</v>
      </c>
      <c r="BJ43" s="62">
        <f t="shared" si="38"/>
        <v>335.56869428808034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58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10.050703125665974</v>
      </c>
      <c r="BQ43" s="23">
        <f>EXP(-LN(2)/25)*BQ42+(1-EXP(-LN(2)/25))/(LN(2)/25)*Calculateur!BL43*Calculateur!BN43*VLOOKUP('Données projet'!$B$11,Paramètres!$A$1:$I$89,3,0)*0.475*44/12</f>
        <v>12.247267868669001</v>
      </c>
      <c r="BR43" s="23">
        <f>EXP(-LN(2)/2)*BR42+(1-EXP(-LN(2)/2))/(LN(2)/2)*BL43*BO43*VLOOKUP('Données projet'!$B$11,Paramètres!$A$1:$I$89,3,0)*0.475*44/12</f>
        <v>2.0014681071805365</v>
      </c>
      <c r="BS43" s="24">
        <f t="shared" si="9"/>
        <v>24.29943910151551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325.25942267322125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314.1401276393035</v>
      </c>
      <c r="T44" s="62">
        <f t="shared" si="34"/>
        <v>243.75878492878178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11.783619365111802</v>
      </c>
      <c r="AA44" s="23">
        <f>EXP(-LN(2)/25)*AA43+(1-EXP(-LN(2)/25))/(LN(2)/25)*Calculateur!V44*Calculateur!X44*VLOOKUP('Données projet'!$B$9,Paramètres!$A$1:$I$89,3,0)*0.475*44/12</f>
        <v>5.8223057607101376</v>
      </c>
      <c r="AB44" s="23">
        <f>EXP(-LN(2)/2)*AB43+(1-EXP(-LN(2)/2))/(LN(2)/2)*V44*Y44*VLOOKUP('Données projet'!$B$9,Paramètres!$A$1:$I$89,3,0)*0.475*44/12</f>
        <v>13.188914653903785</v>
      </c>
      <c r="AC44" s="24">
        <f t="shared" si="3"/>
        <v>30.794839779725727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272.85581758101404</v>
      </c>
      <c r="AO44" s="62">
        <f t="shared" si="36"/>
        <v>180.73985910201225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0.42282963134996604</v>
      </c>
      <c r="AX44" s="23">
        <f t="shared" si="6"/>
        <v>0.42282963134996604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20.8</v>
      </c>
      <c r="BD44" s="13">
        <f>IF('Données projet'!$A$88&gt;35,BD43+BC44-BL43,IF(A44&lt;'Données projet'!$A$88,$BA$205^A44,IF(A44='Données projet'!$A$88,'Données projet'!$B$88,BD43+BC44-BL43)))</f>
        <v>385.79999999999978</v>
      </c>
      <c r="BE44" s="14">
        <f>BD44*VLOOKUP('Données projet'!$B$11,Paramètres!$A$1:$I$89,3,0)*VLOOKUP('Données projet'!$B$11,Paramètres!$A$1:$I$89,5,0)</f>
        <v>215.66219999999987</v>
      </c>
      <c r="BF44" s="14">
        <f t="shared" si="37"/>
        <v>53.17099639555417</v>
      </c>
      <c r="BG44" s="22">
        <f t="shared" si="7"/>
        <v>468.21781705558993</v>
      </c>
      <c r="BH44" s="62">
        <f t="shared" si="8"/>
        <v>761.55115038892325</v>
      </c>
      <c r="BI44" s="62">
        <f ca="1">AVERAGE(OFFSET($BH$3,0,0,'Données projet'!$E$11+1,1))-AVERAGE(OFFSET($H$3,0,0,'Données projet'!$E$11+1,1))</f>
        <v>282.598842734946</v>
      </c>
      <c r="BJ44" s="62">
        <f t="shared" si="38"/>
        <v>335.56869428808034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9.8536149676952522</v>
      </c>
      <c r="BQ44" s="23">
        <f>EXP(-LN(2)/25)*BQ43+(1-EXP(-LN(2)/25))/(LN(2)/25)*Calculateur!BL44*Calculateur!BN44*VLOOKUP('Données projet'!$B$11,Paramètres!$A$1:$I$89,3,0)*0.475*44/12</f>
        <v>11.912365684744421</v>
      </c>
      <c r="BR44" s="23">
        <f>EXP(-LN(2)/2)*BR43+(1-EXP(-LN(2)/2))/(LN(2)/2)*BL44*BO44*VLOOKUP('Données projet'!$B$11,Paramètres!$A$1:$I$89,3,0)*0.475*44/12</f>
        <v>1.415251670915961</v>
      </c>
      <c r="BS44" s="24">
        <f t="shared" si="9"/>
        <v>23.181232323355633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326.88582960147369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314.1401276393035</v>
      </c>
      <c r="T45" s="62">
        <f t="shared" si="34"/>
        <v>243.75878492878178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11.552549776660085</v>
      </c>
      <c r="AA45" s="23">
        <f>EXP(-LN(2)/25)*AA44+(1-EXP(-LN(2)/25))/(LN(2)/25)*Calculateur!V45*Calculateur!X45*VLOOKUP('Données projet'!$B$9,Paramètres!$A$1:$I$89,3,0)*0.475*44/12</f>
        <v>5.6630945035017657</v>
      </c>
      <c r="AB45" s="23">
        <f>EXP(-LN(2)/2)*AB44+(1-EXP(-LN(2)/2))/(LN(2)/2)*V45*Y45*VLOOKUP('Données projet'!$B$9,Paramètres!$A$1:$I$89,3,0)*0.475*44/12</f>
        <v>9.3259709882659951</v>
      </c>
      <c r="AC45" s="24">
        <f t="shared" si="3"/>
        <v>26.541615268427847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272.85581758101404</v>
      </c>
      <c r="AO45" s="62">
        <f t="shared" si="36"/>
        <v>180.73985910201225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0.29898569961416899</v>
      </c>
      <c r="AX45" s="23">
        <f t="shared" si="6"/>
        <v>0.29898569961416899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20.8</v>
      </c>
      <c r="BD45" s="13">
        <f>IF('Données projet'!$A$88&gt;35,BD44+BC45-BL44,IF(A45&lt;'Données projet'!$A$88,$BA$205^A45,IF(A45='Données projet'!$A$88,'Données projet'!$B$88,BD44+BC45-BL44)))</f>
        <v>406.5999999999998</v>
      </c>
      <c r="BE45" s="14">
        <f>BD45*VLOOKUP('Données projet'!$B$11,Paramètres!$A$1:$I$89,3,0)*VLOOKUP('Données projet'!$B$11,Paramètres!$A$1:$I$89,5,0)</f>
        <v>227.28939999999989</v>
      </c>
      <c r="BF45" s="14">
        <f t="shared" si="37"/>
        <v>55.696182660755333</v>
      </c>
      <c r="BG45" s="22">
        <f t="shared" si="7"/>
        <v>492.86655646748187</v>
      </c>
      <c r="BH45" s="62">
        <f t="shared" si="8"/>
        <v>786.19988980081519</v>
      </c>
      <c r="BI45" s="62">
        <f ca="1">AVERAGE(OFFSET($BH$3,0,0,'Données projet'!$E$11+1,1))-AVERAGE(OFFSET($H$3,0,0,'Données projet'!$E$11+1,1))</f>
        <v>282.598842734946</v>
      </c>
      <c r="BJ45" s="62">
        <f t="shared" si="38"/>
        <v>335.56869428808034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9.6603915882904285</v>
      </c>
      <c r="BQ45" s="23">
        <f>EXP(-LN(2)/25)*BQ44+(1-EXP(-LN(2)/25))/(LN(2)/25)*Calculateur!BL45*Calculateur!BN45*VLOOKUP('Données projet'!$B$11,Paramètres!$A$1:$I$89,3,0)*0.475*44/12</f>
        <v>11.586621418650999</v>
      </c>
      <c r="BR45" s="23">
        <f>EXP(-LN(2)/2)*BR44+(1-EXP(-LN(2)/2))/(LN(2)/2)*BL45*BO45*VLOOKUP('Données projet'!$B$11,Paramètres!$A$1:$I$89,3,0)*0.475*44/12</f>
        <v>1.0007340535902682</v>
      </c>
      <c r="BS45" s="24">
        <f t="shared" si="9"/>
        <v>22.247747060531697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328.51126938975762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314.1401276393035</v>
      </c>
      <c r="T46" s="62">
        <f t="shared" si="34"/>
        <v>243.75878492878178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11.326011321899374</v>
      </c>
      <c r="AA46" s="23">
        <f>EXP(-LN(2)/25)*AA45+(1-EXP(-LN(2)/25))/(LN(2)/25)*Calculateur!V46*Calculateur!X46*VLOOKUP('Données projet'!$B$9,Paramètres!$A$1:$I$89,3,0)*0.475*44/12</f>
        <v>5.5082368864943128</v>
      </c>
      <c r="AB46" s="23">
        <f>EXP(-LN(2)/2)*AB45+(1-EXP(-LN(2)/2))/(LN(2)/2)*V46*Y46*VLOOKUP('Données projet'!$B$9,Paramètres!$A$1:$I$89,3,0)*0.475*44/12</f>
        <v>6.5944573269518942</v>
      </c>
      <c r="AC46" s="24">
        <f t="shared" si="3"/>
        <v>23.428705535345582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272.85581758101404</v>
      </c>
      <c r="AO46" s="62">
        <f t="shared" si="36"/>
        <v>180.73985910201225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0.21141481567498302</v>
      </c>
      <c r="AX46" s="23">
        <f t="shared" si="6"/>
        <v>0.21141481567498302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20.8</v>
      </c>
      <c r="BD46" s="13">
        <f>IF('Données projet'!$A$88&gt;35,BD45+BC46-BL45,IF(A46&lt;'Données projet'!$A$88,$BA$205^A46,IF(A46='Données projet'!$A$88,'Données projet'!$B$88,BD45+BC46-BL45)))</f>
        <v>427.39999999999981</v>
      </c>
      <c r="BE46" s="14">
        <f>BD46*VLOOKUP('Données projet'!$B$11,Paramètres!$A$1:$I$89,3,0)*VLOOKUP('Données projet'!$B$11,Paramètres!$A$1:$I$89,5,0)</f>
        <v>238.9165999999999</v>
      </c>
      <c r="BF46" s="14">
        <f t="shared" si="37"/>
        <v>58.206370350662915</v>
      </c>
      <c r="BG46" s="22">
        <f t="shared" si="7"/>
        <v>517.48917336073771</v>
      </c>
      <c r="BH46" s="62">
        <f t="shared" si="8"/>
        <v>810.82250669407108</v>
      </c>
      <c r="BI46" s="62">
        <f ca="1">AVERAGE(OFFSET($BH$3,0,0,'Données projet'!$E$11+1,1))-AVERAGE(OFFSET($H$3,0,0,'Données projet'!$E$11+1,1))</f>
        <v>282.598842734946</v>
      </c>
      <c r="BJ46" s="62">
        <f t="shared" si="38"/>
        <v>335.56869428808034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9.4709572015011094</v>
      </c>
      <c r="BQ46" s="23">
        <f>EXP(-LN(2)/25)*BQ45+(1-EXP(-LN(2)/25))/(LN(2)/25)*Calculateur!BL46*Calculateur!BN46*VLOOKUP('Données projet'!$B$11,Paramètres!$A$1:$I$89,3,0)*0.475*44/12</f>
        <v>11.269784646644048</v>
      </c>
      <c r="BR46" s="23">
        <f>EXP(-LN(2)/2)*BR45+(1-EXP(-LN(2)/2))/(LN(2)/2)*BL46*BO46*VLOOKUP('Données projet'!$B$11,Paramètres!$A$1:$I$89,3,0)*0.475*44/12</f>
        <v>0.70762583545798052</v>
      </c>
      <c r="BS46" s="24">
        <f t="shared" si="9"/>
        <v>21.448367683603138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330.13576711834025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314.1401276393035</v>
      </c>
      <c r="T47" s="62">
        <f t="shared" si="34"/>
        <v>243.75878492878178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11.103915148061708</v>
      </c>
      <c r="AA47" s="23">
        <f>EXP(-LN(2)/25)*AA46+(1-EXP(-LN(2)/25))/(LN(2)/25)*Calculateur!V47*Calculateur!X47*VLOOKUP('Données projet'!$B$9,Paramètres!$A$1:$I$89,3,0)*0.475*44/12</f>
        <v>5.3576138591675369</v>
      </c>
      <c r="AB47" s="23">
        <f>EXP(-LN(2)/2)*AB46+(1-EXP(-LN(2)/2))/(LN(2)/2)*V47*Y47*VLOOKUP('Données projet'!$B$9,Paramètres!$A$1:$I$89,3,0)*0.475*44/12</f>
        <v>4.6629854941329985</v>
      </c>
      <c r="AC47" s="24">
        <f t="shared" si="3"/>
        <v>21.124514501362242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272.85581758101404</v>
      </c>
      <c r="AO47" s="62">
        <f t="shared" si="36"/>
        <v>180.73985910201225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0.14949284980708449</v>
      </c>
      <c r="AX47" s="23">
        <f t="shared" si="6"/>
        <v>0.14949284980708449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20.8</v>
      </c>
      <c r="BD47" s="13">
        <f>IF('Données projet'!$A$88&gt;35,BD46+BC47-BL46,IF(A47&lt;'Données projet'!$A$88,$BA$205^A47,IF(A47='Données projet'!$A$88,'Données projet'!$B$88,BD46+BC47-BL46)))</f>
        <v>448.19999999999982</v>
      </c>
      <c r="BE47" s="14">
        <f>BD47*VLOOKUP('Données projet'!$B$11,Paramètres!$A$1:$I$89,3,0)*VLOOKUP('Données projet'!$B$11,Paramètres!$A$1:$I$89,5,0)</f>
        <v>250.54379999999989</v>
      </c>
      <c r="BF47" s="14">
        <f t="shared" si="37"/>
        <v>60.702372707973225</v>
      </c>
      <c r="BG47" s="22">
        <f t="shared" si="7"/>
        <v>542.08708413305317</v>
      </c>
      <c r="BH47" s="62">
        <f t="shared" si="8"/>
        <v>835.42041746638643</v>
      </c>
      <c r="BI47" s="62">
        <f ca="1">AVERAGE(OFFSET($BH$3,0,0,'Données projet'!$E$11+1,1))-AVERAGE(OFFSET($H$3,0,0,'Données projet'!$E$11+1,1))</f>
        <v>282.598842734946</v>
      </c>
      <c r="BJ47" s="62">
        <f t="shared" si="38"/>
        <v>335.56869428808034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9.2852375074931626</v>
      </c>
      <c r="BQ47" s="23">
        <f>EXP(-LN(2)/25)*BQ46+(1-EXP(-LN(2)/25))/(LN(2)/25)*Calculateur!BL47*Calculateur!BN47*VLOOKUP('Données projet'!$B$11,Paramètres!$A$1:$I$89,3,0)*0.475*44/12</f>
        <v>10.96161179282935</v>
      </c>
      <c r="BR47" s="23">
        <f>EXP(-LN(2)/2)*BR46+(1-EXP(-LN(2)/2))/(LN(2)/2)*BL47*BO47*VLOOKUP('Données projet'!$B$11,Paramètres!$A$1:$I$89,3,0)*0.475*44/12</f>
        <v>0.50036702679513412</v>
      </c>
      <c r="BS47" s="24">
        <f t="shared" si="9"/>
        <v>20.747216327117648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331.75934666241028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314.1401276393035</v>
      </c>
      <c r="T48" s="62">
        <f t="shared" si="34"/>
        <v>243.75878492878178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10.886174144727708</v>
      </c>
      <c r="AA48" s="23">
        <f>EXP(-LN(2)/25)*AA47+(1-EXP(-LN(2)/25))/(LN(2)/25)*Calculateur!V48*Calculateur!X48*VLOOKUP('Données projet'!$B$9,Paramètres!$A$1:$I$89,3,0)*0.475*44/12</f>
        <v>5.2111096264439327</v>
      </c>
      <c r="AB48" s="23">
        <f>EXP(-LN(2)/2)*AB47+(1-EXP(-LN(2)/2))/(LN(2)/2)*V48*Y48*VLOOKUP('Données projet'!$B$9,Paramètres!$A$1:$I$89,3,0)*0.475*44/12</f>
        <v>3.2972286634759476</v>
      </c>
      <c r="AC48" s="24">
        <f t="shared" si="3"/>
        <v>19.394512434647588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272.85581758101404</v>
      </c>
      <c r="AO48" s="62">
        <f t="shared" si="36"/>
        <v>180.73985910201225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0.10570740783749151</v>
      </c>
      <c r="AX48" s="23">
        <f t="shared" si="6"/>
        <v>0.10570740783749151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469</v>
      </c>
      <c r="BB48" s="13">
        <f>VLOOKUP(A48,'Données projet'!$A$87:$I$107,9,0)</f>
        <v>20.8</v>
      </c>
      <c r="BC48" s="13">
        <f t="array" ref="BC48">INDEX(BB:BB,MIN(IF(ISNUMBER(BB48:BB244),ROW(BB48:BB244),"")))</f>
        <v>20.8</v>
      </c>
      <c r="BD48" s="13">
        <f>IF('Données projet'!$A$88&gt;35,BD47+BC48-BL47,IF(A48&lt;'Données projet'!$A$88,$BA$205^A48,IF(A48='Données projet'!$A$88,'Données projet'!$B$88,BD47+BC48-BL47)))</f>
        <v>468.99999999999983</v>
      </c>
      <c r="BE48" s="14">
        <f>BD48*VLOOKUP('Données projet'!$B$11,Paramètres!$A$1:$I$89,3,0)*VLOOKUP('Données projet'!$B$11,Paramètres!$A$1:$I$89,5,0)</f>
        <v>262.17099999999994</v>
      </c>
      <c r="BF48" s="14">
        <f t="shared" si="37"/>
        <v>63.184923227726436</v>
      </c>
      <c r="BG48" s="22">
        <f t="shared" si="7"/>
        <v>566.66156628829003</v>
      </c>
      <c r="BH48" s="62">
        <f t="shared" si="8"/>
        <v>859.99489962162329</v>
      </c>
      <c r="BI48" s="62">
        <f ca="1">AVERAGE(OFFSET($BH$3,0,0,'Données projet'!$E$11+1,1))-AVERAGE(OFFSET($H$3,0,0,'Données projet'!$E$11+1,1))</f>
        <v>282.598842734946</v>
      </c>
      <c r="BJ48" s="62">
        <f t="shared" si="38"/>
        <v>335.56869428808034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57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9.103159663406883</v>
      </c>
      <c r="BQ48" s="23">
        <f>EXP(-LN(2)/25)*BQ47+(1-EXP(-LN(2)/25))/(LN(2)/25)*Calculateur!BL48*Calculateur!BN48*VLOOKUP('Données projet'!$B$11,Paramètres!$A$1:$I$89,3,0)*0.475*44/12</f>
        <v>10.661865941908321</v>
      </c>
      <c r="BR48" s="23">
        <f>EXP(-LN(2)/2)*BR47+(1-EXP(-LN(2)/2))/(LN(2)/2)*BL48*BO48*VLOOKUP('Données projet'!$B$11,Paramètres!$A$1:$I$89,3,0)*0.475*44/12</f>
        <v>0.35381291772899026</v>
      </c>
      <c r="BS48" s="24">
        <f t="shared" si="9"/>
        <v>20.118838523044193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333.38203077545319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314.1401276393035</v>
      </c>
      <c r="T49" s="62">
        <f t="shared" si="34"/>
        <v>243.75878492878178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10.672702909660188</v>
      </c>
      <c r="AA49" s="23">
        <f>EXP(-LN(2)/25)*AA48+(1-EXP(-LN(2)/25))/(LN(2)/25)*Calculateur!V49*Calculateur!X49*VLOOKUP('Données projet'!$B$9,Paramètres!$A$1:$I$89,3,0)*0.475*44/12</f>
        <v>5.0686115596684784</v>
      </c>
      <c r="AB49" s="23">
        <f>EXP(-LN(2)/2)*AB48+(1-EXP(-LN(2)/2))/(LN(2)/2)*V49*Y49*VLOOKUP('Données projet'!$B$9,Paramètres!$A$1:$I$89,3,0)*0.475*44/12</f>
        <v>2.3314927470664997</v>
      </c>
      <c r="AC49" s="24">
        <f t="shared" si="3"/>
        <v>18.072807216395166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272.85581758101404</v>
      </c>
      <c r="AO49" s="62">
        <f t="shared" si="36"/>
        <v>180.73985910201225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7.4746424903542247E-2</v>
      </c>
      <c r="AX49" s="23">
        <f t="shared" si="6"/>
        <v>7.4746424903542247E-2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18</v>
      </c>
      <c r="BD49" s="13">
        <f>IF('Données projet'!$A$88&gt;35,BD48+BC49-BL48,IF(A49&lt;'Données projet'!$A$88,$BA$205^A49,IF(A49='Données projet'!$A$88,'Données projet'!$B$88,BD48+BC49-BL48)))</f>
        <v>429.99999999999983</v>
      </c>
      <c r="BE49" s="14">
        <f>BD49*VLOOKUP('Données projet'!$B$11,Paramètres!$A$1:$I$89,3,0)*VLOOKUP('Données projet'!$B$11,Paramètres!$A$1:$I$89,5,0)</f>
        <v>240.36999999999989</v>
      </c>
      <c r="BF49" s="14">
        <f t="shared" si="37"/>
        <v>58.51913064595886</v>
      </c>
      <c r="BG49" s="22">
        <f t="shared" si="7"/>
        <v>520.56523587504478</v>
      </c>
      <c r="BH49" s="62">
        <f t="shared" si="8"/>
        <v>813.89856920837815</v>
      </c>
      <c r="BI49" s="62">
        <f ca="1">AVERAGE(OFFSET($BH$3,0,0,'Données projet'!$E$11+1,1))-AVERAGE(OFFSET($H$3,0,0,'Données projet'!$E$11+1,1))</f>
        <v>282.598842734946</v>
      </c>
      <c r="BJ49" s="62">
        <f t="shared" si="38"/>
        <v>335.56869428808034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8.9246522547866167</v>
      </c>
      <c r="BQ49" s="23">
        <f>EXP(-LN(2)/25)*BQ48+(1-EXP(-LN(2)/25))/(LN(2)/25)*Calculateur!BL49*Calculateur!BN49*VLOOKUP('Données projet'!$B$11,Paramètres!$A$1:$I$89,3,0)*0.475*44/12</f>
        <v>10.370316657043675</v>
      </c>
      <c r="BR49" s="23">
        <f>EXP(-LN(2)/2)*BR48+(1-EXP(-LN(2)/2))/(LN(2)/2)*BL49*BO49*VLOOKUP('Données projet'!$B$11,Paramètres!$A$1:$I$89,3,0)*0.475*44/12</f>
        <v>0.25018351339756706</v>
      </c>
      <c r="BS49" s="24">
        <f t="shared" si="9"/>
        <v>19.545152425227858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335.00384116517205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314.1401276393035</v>
      </c>
      <c r="T50" s="62">
        <f t="shared" si="34"/>
        <v>243.75878492878178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10.463417715307747</v>
      </c>
      <c r="AA50" s="23">
        <f>EXP(-LN(2)/25)*AA49+(1-EXP(-LN(2)/25))/(LN(2)/25)*Calculateur!V50*Calculateur!X50*VLOOKUP('Données projet'!$B$9,Paramètres!$A$1:$I$89,3,0)*0.475*44/12</f>
        <v>4.9300101100226463</v>
      </c>
      <c r="AB50" s="23">
        <f>EXP(-LN(2)/2)*AB49+(1-EXP(-LN(2)/2))/(LN(2)/2)*V50*Y50*VLOOKUP('Données projet'!$B$9,Paramètres!$A$1:$I$89,3,0)*0.475*44/12</f>
        <v>1.648614331737974</v>
      </c>
      <c r="AC50" s="24">
        <f t="shared" si="3"/>
        <v>17.042042157068366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272.85581758101404</v>
      </c>
      <c r="AO50" s="62">
        <f t="shared" si="36"/>
        <v>180.73985910201225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5.2853703918745755E-2</v>
      </c>
      <c r="AX50" s="23">
        <f t="shared" si="6"/>
        <v>5.2853703918745755E-2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18</v>
      </c>
      <c r="BD50" s="13">
        <f>IF('Données projet'!$A$88&gt;35,BD49+BC50-BL49,IF(A50&lt;'Données projet'!$A$88,$BA$205^A50,IF(A50='Données projet'!$A$88,'Données projet'!$B$88,BD49+BC50-BL49)))</f>
        <v>447.99999999999983</v>
      </c>
      <c r="BE50" s="14">
        <f>BD50*VLOOKUP('Données projet'!$B$11,Paramètres!$A$1:$I$89,3,0)*VLOOKUP('Données projet'!$B$11,Paramètres!$A$1:$I$89,5,0)</f>
        <v>250.43199999999993</v>
      </c>
      <c r="BF50" s="14">
        <f t="shared" si="37"/>
        <v>60.67843785311895</v>
      </c>
      <c r="BG50" s="22">
        <f t="shared" si="7"/>
        <v>541.85067926084866</v>
      </c>
      <c r="BH50" s="62">
        <f t="shared" si="8"/>
        <v>835.18401259418192</v>
      </c>
      <c r="BI50" s="62">
        <f ca="1">AVERAGE(OFFSET($BH$3,0,0,'Données projet'!$E$11+1,1))-AVERAGE(OFFSET($H$3,0,0,'Données projet'!$E$11+1,1))</f>
        <v>282.598842734946</v>
      </c>
      <c r="BJ50" s="62">
        <f t="shared" si="38"/>
        <v>335.56869428808034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8.7496452675706262</v>
      </c>
      <c r="BQ50" s="23">
        <f>EXP(-LN(2)/25)*BQ49+(1-EXP(-LN(2)/25))/(LN(2)/25)*Calculateur!BL50*Calculateur!BN50*VLOOKUP('Données projet'!$B$11,Paramètres!$A$1:$I$89,3,0)*0.475*44/12</f>
        <v>10.086739802705564</v>
      </c>
      <c r="BR50" s="23">
        <f>EXP(-LN(2)/2)*BR49+(1-EXP(-LN(2)/2))/(LN(2)/2)*BL50*BO50*VLOOKUP('Données projet'!$B$11,Paramètres!$A$1:$I$89,3,0)*0.475*44/12</f>
        <v>0.17690645886449513</v>
      </c>
      <c r="BS50" s="24">
        <f t="shared" si="9"/>
        <v>19.013291529140684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336.62479856276508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314.1401276393035</v>
      </c>
      <c r="T51" s="62">
        <f t="shared" si="34"/>
        <v>243.75878492878178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10.258236475965193</v>
      </c>
      <c r="AA51" s="23">
        <f>EXP(-LN(2)/25)*AA50+(1-EXP(-LN(2)/25))/(LN(2)/25)*Calculateur!V51*Calculateur!X51*VLOOKUP('Données projet'!$B$9,Paramètres!$A$1:$I$89,3,0)*0.475*44/12</f>
        <v>4.7951987243061129</v>
      </c>
      <c r="AB51" s="23">
        <f>EXP(-LN(2)/2)*AB50+(1-EXP(-LN(2)/2))/(LN(2)/2)*V51*Y51*VLOOKUP('Données projet'!$B$9,Paramètres!$A$1:$I$89,3,0)*0.475*44/12</f>
        <v>1.1657463735332498</v>
      </c>
      <c r="AC51" s="24">
        <f t="shared" si="3"/>
        <v>16.219181573804555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272.85581758101404</v>
      </c>
      <c r="AO51" s="62">
        <f t="shared" si="36"/>
        <v>180.73985910201225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3.7373212451771123E-2</v>
      </c>
      <c r="AX51" s="23">
        <f t="shared" si="6"/>
        <v>3.7373212451771123E-2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18</v>
      </c>
      <c r="BD51" s="13">
        <f>IF('Données projet'!$A$88&gt;35,BD50+BC51-BL50,IF(A51&lt;'Données projet'!$A$88,$BA$205^A51,IF(A51='Données projet'!$A$88,'Données projet'!$B$88,BD50+BC51-BL50)))</f>
        <v>465.99999999999983</v>
      </c>
      <c r="BE51" s="14">
        <f>BD51*VLOOKUP('Données projet'!$B$11,Paramètres!$A$1:$I$89,3,0)*VLOOKUP('Données projet'!$B$11,Paramètres!$A$1:$I$89,5,0)</f>
        <v>260.49399999999991</v>
      </c>
      <c r="BF51" s="14">
        <f t="shared" si="37"/>
        <v>62.827667157228845</v>
      </c>
      <c r="BG51" s="22">
        <f t="shared" si="7"/>
        <v>563.11857029884015</v>
      </c>
      <c r="BH51" s="62">
        <f t="shared" si="8"/>
        <v>856.45190363217353</v>
      </c>
      <c r="BI51" s="62">
        <f ca="1">AVERAGE(OFFSET($BH$3,0,0,'Données projet'!$E$11+1,1))-AVERAGE(OFFSET($H$3,0,0,'Données projet'!$E$11+1,1))</f>
        <v>282.598842734946</v>
      </c>
      <c r="BJ51" s="62">
        <f t="shared" si="38"/>
        <v>335.56869428808034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8.5780700606302194</v>
      </c>
      <c r="BQ51" s="23">
        <f>EXP(-LN(2)/25)*BQ50+(1-EXP(-LN(2)/25))/(LN(2)/25)*Calculateur!BL51*Calculateur!BN51*VLOOKUP('Données projet'!$B$11,Paramètres!$A$1:$I$89,3,0)*0.475*44/12</f>
        <v>9.8109173723619882</v>
      </c>
      <c r="BR51" s="23">
        <f>EXP(-LN(2)/2)*BR50+(1-EXP(-LN(2)/2))/(LN(2)/2)*BL51*BO51*VLOOKUP('Données projet'!$B$11,Paramètres!$A$1:$I$89,3,0)*0.475*44/12</f>
        <v>0.12509175669878353</v>
      </c>
      <c r="BS51" s="24">
        <f t="shared" si="9"/>
        <v>18.514079189690992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338.24492278626627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314.1401276393035</v>
      </c>
      <c r="T52" s="62">
        <f t="shared" si="34"/>
        <v>243.75878492878178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10.057078715577948</v>
      </c>
      <c r="AA52" s="23">
        <f>EXP(-LN(2)/25)*AA51+(1-EXP(-LN(2)/25))/(LN(2)/25)*Calculateur!V52*Calculateur!X52*VLOOKUP('Données projet'!$B$9,Paramètres!$A$1:$I$89,3,0)*0.475*44/12</f>
        <v>4.6640737630214213</v>
      </c>
      <c r="AB52" s="23">
        <f>EXP(-LN(2)/2)*AB51+(1-EXP(-LN(2)/2))/(LN(2)/2)*V52*Y52*VLOOKUP('Données projet'!$B$9,Paramètres!$A$1:$I$89,3,0)*0.475*44/12</f>
        <v>0.824307165868987</v>
      </c>
      <c r="AC52" s="24">
        <f t="shared" si="3"/>
        <v>15.545459644468355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272.85581758101404</v>
      </c>
      <c r="AO52" s="62">
        <f t="shared" si="36"/>
        <v>180.73985910201225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2.6426851959372877E-2</v>
      </c>
      <c r="AX52" s="23">
        <f t="shared" si="6"/>
        <v>2.6426851959372877E-2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18</v>
      </c>
      <c r="BD52" s="13">
        <f>IF('Données projet'!$A$88&gt;35,BD51+BC52-BL51,IF(A52&lt;'Données projet'!$A$88,$BA$205^A52,IF(A52='Données projet'!$A$88,'Données projet'!$B$88,BD51+BC52-BL51)))</f>
        <v>483.99999999999983</v>
      </c>
      <c r="BE52" s="14">
        <f>BD52*VLOOKUP('Données projet'!$B$11,Paramètres!$A$1:$I$89,3,0)*VLOOKUP('Données projet'!$B$11,Paramètres!$A$1:$I$89,5,0)</f>
        <v>270.55599999999993</v>
      </c>
      <c r="BF52" s="14">
        <f t="shared" si="37"/>
        <v>64.967252389325225</v>
      </c>
      <c r="BG52" s="22">
        <f t="shared" si="7"/>
        <v>584.36966457807455</v>
      </c>
      <c r="BH52" s="62">
        <f t="shared" si="8"/>
        <v>877.70299791140792</v>
      </c>
      <c r="BI52" s="62">
        <f ca="1">AVERAGE(OFFSET($BH$3,0,0,'Données projet'!$E$11+1,1))-AVERAGE(OFFSET($H$3,0,0,'Données projet'!$E$11+1,1))</f>
        <v>282.598842734946</v>
      </c>
      <c r="BJ52" s="62">
        <f t="shared" si="38"/>
        <v>335.56869428808034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8.4098593388473706</v>
      </c>
      <c r="BQ52" s="23">
        <f>EXP(-LN(2)/25)*BQ51+(1-EXP(-LN(2)/25))/(LN(2)/25)*Calculateur!BL52*Calculateur!BN52*VLOOKUP('Données projet'!$B$11,Paramètres!$A$1:$I$89,3,0)*0.475*44/12</f>
        <v>9.5426373208810276</v>
      </c>
      <c r="BR52" s="23">
        <f>EXP(-LN(2)/2)*BR51+(1-EXP(-LN(2)/2))/(LN(2)/2)*BL52*BO52*VLOOKUP('Données projet'!$B$11,Paramètres!$A$1:$I$89,3,0)*0.475*44/12</f>
        <v>8.8453229432247565E-2</v>
      </c>
      <c r="BS52" s="24">
        <f t="shared" si="9"/>
        <v>18.040949889160643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339.8642327985703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314.1401276393035</v>
      </c>
      <c r="T53" s="62">
        <f t="shared" si="34"/>
        <v>243.75878492878178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9.8598655361777769</v>
      </c>
      <c r="AA53" s="23">
        <f>EXP(-LN(2)/25)*AA52+(1-EXP(-LN(2)/25))/(LN(2)/25)*Calculateur!V53*Calculateur!X53*VLOOKUP('Données projet'!$B$9,Paramètres!$A$1:$I$89,3,0)*0.475*44/12</f>
        <v>4.5365344206986213</v>
      </c>
      <c r="AB53" s="23">
        <f>EXP(-LN(2)/2)*AB52+(1-EXP(-LN(2)/2))/(LN(2)/2)*V53*Y53*VLOOKUP('Données projet'!$B$9,Paramètres!$A$1:$I$89,3,0)*0.475*44/12</f>
        <v>0.58287318676662492</v>
      </c>
      <c r="AC53" s="24">
        <f t="shared" si="3"/>
        <v>14.979273143643022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272.85581758101404</v>
      </c>
      <c r="AO53" s="62">
        <f t="shared" si="36"/>
        <v>180.73985910201225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1.8686606225885562E-2</v>
      </c>
      <c r="AX53" s="23">
        <f t="shared" si="6"/>
        <v>1.8686606225885562E-2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502</v>
      </c>
      <c r="BB53" s="13">
        <f>VLOOKUP(A53,'Données projet'!$A$87:$I$107,9,0)</f>
        <v>18</v>
      </c>
      <c r="BC53" s="13">
        <f t="array" ref="BC53">INDEX(BB:BB,MIN(IF(ISNUMBER(BB53:BB249),ROW(BB53:BB249),"")))</f>
        <v>18</v>
      </c>
      <c r="BD53" s="13">
        <f>IF('Données projet'!$A$88&gt;35,BD52+BC53-BL52,IF(A53&lt;'Données projet'!$A$88,$BA$205^A53,IF(A53='Données projet'!$A$88,'Données projet'!$B$88,BD52+BC53-BL52)))</f>
        <v>501.99999999999983</v>
      </c>
      <c r="BE53" s="14">
        <f>BD53*VLOOKUP('Données projet'!$B$11,Paramètres!$A$1:$I$89,3,0)*VLOOKUP('Données projet'!$B$11,Paramètres!$A$1:$I$89,5,0)</f>
        <v>280.61799999999994</v>
      </c>
      <c r="BF53" s="14">
        <f t="shared" si="37"/>
        <v>67.097593283802667</v>
      </c>
      <c r="BG53" s="22">
        <f t="shared" si="7"/>
        <v>605.60465830262285</v>
      </c>
      <c r="BH53" s="62">
        <f t="shared" si="8"/>
        <v>898.93799163595622</v>
      </c>
      <c r="BI53" s="62">
        <f ca="1">AVERAGE(OFFSET($BH$3,0,0,'Données projet'!$E$11+1,1))-AVERAGE(OFFSET($H$3,0,0,'Données projet'!$E$11+1,1))</f>
        <v>282.598842734946</v>
      </c>
      <c r="BJ53" s="62">
        <f t="shared" si="38"/>
        <v>335.56869428808034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8.2449471267202732</v>
      </c>
      <c r="BQ53" s="23">
        <f>EXP(-LN(2)/25)*BQ52+(1-EXP(-LN(2)/25))/(LN(2)/25)*Calculateur!BL53*Calculateur!BN53*VLOOKUP('Données projet'!$B$11,Paramètres!$A$1:$I$89,3,0)*0.475*44/12</f>
        <v>9.2816934015160495</v>
      </c>
      <c r="BR53" s="23">
        <f>EXP(-LN(2)/2)*BR52+(1-EXP(-LN(2)/2))/(LN(2)/2)*BL53*BO53*VLOOKUP('Données projet'!$B$11,Paramètres!$A$1:$I$89,3,0)*0.475*44/12</f>
        <v>6.2545878349391765E-2</v>
      </c>
      <c r="BS53" s="24">
        <f t="shared" si="9"/>
        <v>17.589186406585714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341.48274676068348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314.1401276393035</v>
      </c>
      <c r="T54" s="62">
        <f t="shared" si="34"/>
        <v>243.75878492878178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9.6665195869374827</v>
      </c>
      <c r="AA54" s="23">
        <f>EXP(-LN(2)/25)*AA53+(1-EXP(-LN(2)/25))/(LN(2)/25)*Calculateur!V54*Calculateur!X54*VLOOKUP('Données projet'!$B$9,Paramètres!$A$1:$I$89,3,0)*0.475*44/12</f>
        <v>4.4124826483986404</v>
      </c>
      <c r="AB54" s="23">
        <f>EXP(-LN(2)/2)*AB53+(1-EXP(-LN(2)/2))/(LN(2)/2)*V54*Y54*VLOOKUP('Données projet'!$B$9,Paramètres!$A$1:$I$89,3,0)*0.475*44/12</f>
        <v>0.4121535829344935</v>
      </c>
      <c r="AC54" s="24">
        <f t="shared" si="3"/>
        <v>14.491155818270617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272.85581758101404</v>
      </c>
      <c r="AO54" s="62">
        <f t="shared" si="36"/>
        <v>180.73985910201225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1.3213425979686439E-2</v>
      </c>
      <c r="AX54" s="23">
        <f t="shared" si="6"/>
        <v>1.3213425979686439E-2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13.6</v>
      </c>
      <c r="BD54" s="13">
        <f>IF('Données projet'!$A$88&gt;35,BD53+BC54-BL53,IF(A54&lt;'Données projet'!$A$88,$BA$205^A54,IF(A54='Données projet'!$A$88,'Données projet'!$B$88,BD53+BC54-BL53)))</f>
        <v>473.5999999999998</v>
      </c>
      <c r="BE54" s="14">
        <f>BD54*VLOOKUP('Données projet'!$B$11,Paramètres!$A$1:$I$89,3,0)*VLOOKUP('Données projet'!$B$11,Paramètres!$A$1:$I$89,5,0)</f>
        <v>264.74239999999992</v>
      </c>
      <c r="BF54" s="14">
        <f t="shared" si="37"/>
        <v>63.732200079614103</v>
      </c>
      <c r="BG54" s="22">
        <f t="shared" si="7"/>
        <v>572.09326180532764</v>
      </c>
      <c r="BH54" s="62">
        <f t="shared" si="8"/>
        <v>865.42659513866101</v>
      </c>
      <c r="BI54" s="62">
        <f ca="1">AVERAGE(OFFSET($BH$3,0,0,'Données projet'!$E$11+1,1))-AVERAGE(OFFSET($H$3,0,0,'Données projet'!$E$11+1,1))</f>
        <v>282.598842734946</v>
      </c>
      <c r="BJ54" s="62">
        <f t="shared" si="38"/>
        <v>335.56869428808034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8.0832687424864709</v>
      </c>
      <c r="BQ54" s="23">
        <f>EXP(-LN(2)/25)*BQ53+(1-EXP(-LN(2)/25))/(LN(2)/25)*Calculateur!BL54*Calculateur!BN54*VLOOKUP('Données projet'!$B$11,Paramètres!$A$1:$I$89,3,0)*0.475*44/12</f>
        <v>9.0278850073485515</v>
      </c>
      <c r="BR54" s="23">
        <f>EXP(-LN(2)/2)*BR53+(1-EXP(-LN(2)/2))/(LN(2)/2)*BL54*BO54*VLOOKUP('Données projet'!$B$11,Paramètres!$A$1:$I$89,3,0)*0.475*44/12</f>
        <v>4.4226614716123783E-2</v>
      </c>
      <c r="BS54" s="24">
        <f t="shared" si="9"/>
        <v>17.155380364551146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343.10048208068082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314.1401276393035</v>
      </c>
      <c r="T55" s="62">
        <f t="shared" si="34"/>
        <v>243.75878492878178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9.4769650338324052</v>
      </c>
      <c r="AA55" s="23">
        <f>EXP(-LN(2)/25)*AA54+(1-EXP(-LN(2)/25))/(LN(2)/25)*Calculateur!V55*Calculateur!X55*VLOOKUP('Données projet'!$B$9,Paramètres!$A$1:$I$89,3,0)*0.475*44/12</f>
        <v>4.2918230783358018</v>
      </c>
      <c r="AB55" s="23">
        <f>EXP(-LN(2)/2)*AB54+(1-EXP(-LN(2)/2))/(LN(2)/2)*V55*Y55*VLOOKUP('Données projet'!$B$9,Paramètres!$A$1:$I$89,3,0)*0.475*44/12</f>
        <v>0.29143659338331246</v>
      </c>
      <c r="AC55" s="24">
        <f t="shared" si="3"/>
        <v>14.060224705551519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272.85581758101404</v>
      </c>
      <c r="AO55" s="62">
        <f t="shared" si="36"/>
        <v>180.73985910201225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9.3433031129427808E-3</v>
      </c>
      <c r="AX55" s="23">
        <f t="shared" si="6"/>
        <v>9.3433031129427808E-3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13.6</v>
      </c>
      <c r="BD55" s="13">
        <f>IF('Données projet'!$A$88&gt;35,BD54+BC55-BL54,IF(A55&lt;'Données projet'!$A$88,$BA$205^A55,IF(A55='Données projet'!$A$88,'Données projet'!$B$88,BD54+BC55-BL54)))</f>
        <v>487.19999999999982</v>
      </c>
      <c r="BE55" s="14">
        <f>BD55*VLOOKUP('Données projet'!$B$11,Paramètres!$A$1:$I$89,3,0)*VLOOKUP('Données projet'!$B$11,Paramètres!$A$1:$I$89,5,0)</f>
        <v>272.34479999999991</v>
      </c>
      <c r="BF55" s="14">
        <f t="shared" si="37"/>
        <v>65.346644318451652</v>
      </c>
      <c r="BG55" s="22">
        <f t="shared" si="7"/>
        <v>588.14593218796972</v>
      </c>
      <c r="BH55" s="62">
        <f t="shared" si="8"/>
        <v>881.47926552130298</v>
      </c>
      <c r="BI55" s="62">
        <f ca="1">AVERAGE(OFFSET($BH$3,0,0,'Données projet'!$E$11+1,1))-AVERAGE(OFFSET($H$3,0,0,'Données projet'!$E$11+1,1))</f>
        <v>282.598842734946</v>
      </c>
      <c r="BJ55" s="62">
        <f t="shared" si="38"/>
        <v>335.56869428808034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7.9247607727534168</v>
      </c>
      <c r="BQ55" s="23">
        <f>EXP(-LN(2)/25)*BQ54+(1-EXP(-LN(2)/25))/(LN(2)/25)*Calculateur!BL55*Calculateur!BN55*VLOOKUP('Données projet'!$B$11,Paramètres!$A$1:$I$89,3,0)*0.475*44/12</f>
        <v>8.7810170170667661</v>
      </c>
      <c r="BR55" s="23">
        <f>EXP(-LN(2)/2)*BR54+(1-EXP(-LN(2)/2))/(LN(2)/2)*BL55*BO55*VLOOKUP('Données projet'!$B$11,Paramètres!$A$1:$I$89,3,0)*0.475*44/12</f>
        <v>3.1272939174695882E-2</v>
      </c>
      <c r="BS55" s="24">
        <f t="shared" si="9"/>
        <v>16.737050728994877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344.71745545879031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314.1401276393035</v>
      </c>
      <c r="T56" s="62">
        <f t="shared" si="34"/>
        <v>243.75878492878178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9.2911275298968583</v>
      </c>
      <c r="AA56" s="23">
        <f>EXP(-LN(2)/25)*AA55+(1-EXP(-LN(2)/25))/(LN(2)/25)*Calculateur!V56*Calculateur!X56*VLOOKUP('Données projet'!$B$9,Paramètres!$A$1:$I$89,3,0)*0.475*44/12</f>
        <v>4.1744629505615425</v>
      </c>
      <c r="AB56" s="23">
        <f>EXP(-LN(2)/2)*AB55+(1-EXP(-LN(2)/2))/(LN(2)/2)*V56*Y56*VLOOKUP('Données projet'!$B$9,Paramètres!$A$1:$I$89,3,0)*0.475*44/12</f>
        <v>0.20607679146724675</v>
      </c>
      <c r="AC56" s="24">
        <f t="shared" si="3"/>
        <v>13.671667271925648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272.85581758101404</v>
      </c>
      <c r="AO56" s="62">
        <f t="shared" si="36"/>
        <v>180.73985910201225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6.6067129898432194E-3</v>
      </c>
      <c r="AX56" s="23">
        <f t="shared" si="6"/>
        <v>6.6067129898432194E-3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13.6</v>
      </c>
      <c r="BD56" s="13">
        <f>IF('Données projet'!$A$88&gt;35,BD55+BC56-BL55,IF(A56&lt;'Données projet'!$A$88,$BA$205^A56,IF(A56='Données projet'!$A$88,'Données projet'!$B$88,BD55+BC56-BL55)))</f>
        <v>500.79999999999984</v>
      </c>
      <c r="BE56" s="14">
        <f>BD56*VLOOKUP('Données projet'!$B$11,Paramètres!$A$1:$I$89,3,0)*VLOOKUP('Données projet'!$B$11,Paramètres!$A$1:$I$89,5,0)</f>
        <v>279.94719999999995</v>
      </c>
      <c r="BF56" s="14">
        <f t="shared" si="37"/>
        <v>66.955850600819858</v>
      </c>
      <c r="BG56" s="22">
        <f t="shared" si="7"/>
        <v>604.18947979642792</v>
      </c>
      <c r="BH56" s="62">
        <f t="shared" si="8"/>
        <v>897.52281312976129</v>
      </c>
      <c r="BI56" s="62">
        <f ca="1">AVERAGE(OFFSET($BH$3,0,0,'Données projet'!$E$11+1,1))-AVERAGE(OFFSET($H$3,0,0,'Données projet'!$E$11+1,1))</f>
        <v>282.598842734946</v>
      </c>
      <c r="BJ56" s="62">
        <f t="shared" si="38"/>
        <v>335.56869428808034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7.7693610476265125</v>
      </c>
      <c r="BQ56" s="23">
        <f>EXP(-LN(2)/25)*BQ55+(1-EXP(-LN(2)/25))/(LN(2)/25)*Calculateur!BL56*Calculateur!BN56*VLOOKUP('Données projet'!$B$11,Paramètres!$A$1:$I$89,3,0)*0.475*44/12</f>
        <v>8.5408996449614598</v>
      </c>
      <c r="BR56" s="23">
        <f>EXP(-LN(2)/2)*BR55+(1-EXP(-LN(2)/2))/(LN(2)/2)*BL56*BO56*VLOOKUP('Données projet'!$B$11,Paramètres!$A$1:$I$89,3,0)*0.475*44/12</f>
        <v>2.2113307358061891E-2</v>
      </c>
      <c r="BS56" s="24">
        <f t="shared" si="9"/>
        <v>16.332373999946036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346.33368292897848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314.1401276393035</v>
      </c>
      <c r="T57" s="62">
        <f t="shared" si="34"/>
        <v>243.75878492878178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9.1089341860638022</v>
      </c>
      <c r="AA57" s="23">
        <f>EXP(-LN(2)/25)*AA56+(1-EXP(-LN(2)/25))/(LN(2)/25)*Calculateur!V57*Calculateur!X57*VLOOKUP('Données projet'!$B$9,Paramètres!$A$1:$I$89,3,0)*0.475*44/12</f>
        <v>4.0603120416529714</v>
      </c>
      <c r="AB57" s="23">
        <f>EXP(-LN(2)/2)*AB56+(1-EXP(-LN(2)/2))/(LN(2)/2)*V57*Y57*VLOOKUP('Données projet'!$B$9,Paramètres!$A$1:$I$89,3,0)*0.475*44/12</f>
        <v>0.14571829669165623</v>
      </c>
      <c r="AC57" s="24">
        <f t="shared" si="3"/>
        <v>13.314964524408429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272.85581758101404</v>
      </c>
      <c r="AO57" s="62">
        <f t="shared" si="36"/>
        <v>180.73985910201225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4.6716515564713904E-3</v>
      </c>
      <c r="AX57" s="23">
        <f t="shared" si="6"/>
        <v>4.6716515564713904E-3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13.6</v>
      </c>
      <c r="BD57" s="13">
        <f>IF('Données projet'!$A$88&gt;35,BD56+BC57-BL56,IF(A57&lt;'Données projet'!$A$88,$BA$205^A57,IF(A57='Données projet'!$A$88,'Données projet'!$B$88,BD56+BC57-BL56)))</f>
        <v>514.39999999999986</v>
      </c>
      <c r="BE57" s="14">
        <f>BD57*VLOOKUP('Données projet'!$B$11,Paramètres!$A$1:$I$89,3,0)*VLOOKUP('Données projet'!$B$11,Paramètres!$A$1:$I$89,5,0)</f>
        <v>287.54959999999994</v>
      </c>
      <c r="BF57" s="14">
        <f t="shared" si="37"/>
        <v>68.559977517591122</v>
      </c>
      <c r="BG57" s="22">
        <f t="shared" si="7"/>
        <v>620.22418084313779</v>
      </c>
      <c r="BH57" s="62">
        <f t="shared" si="8"/>
        <v>913.55751417647116</v>
      </c>
      <c r="BI57" s="62">
        <f ca="1">AVERAGE(OFFSET($BH$3,0,0,'Données projet'!$E$11+1,1))-AVERAGE(OFFSET($H$3,0,0,'Données projet'!$E$11+1,1))</f>
        <v>282.598842734946</v>
      </c>
      <c r="BJ57" s="62">
        <f t="shared" si="38"/>
        <v>335.56869428808034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7.617008616324874</v>
      </c>
      <c r="BQ57" s="23">
        <f>EXP(-LN(2)/25)*BQ56+(1-EXP(-LN(2)/25))/(LN(2)/25)*Calculateur!BL57*Calculateur!BN57*VLOOKUP('Données projet'!$B$11,Paramètres!$A$1:$I$89,3,0)*0.475*44/12</f>
        <v>8.3073482950235977</v>
      </c>
      <c r="BR57" s="23">
        <f>EXP(-LN(2)/2)*BR56+(1-EXP(-LN(2)/2))/(LN(2)/2)*BL57*BO57*VLOOKUP('Données projet'!$B$11,Paramètres!$A$1:$I$89,3,0)*0.475*44/12</f>
        <v>1.5636469587347941E-2</v>
      </c>
      <c r="BS57" s="24">
        <f t="shared" si="9"/>
        <v>15.939993380935819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347.94917989736837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314.1401276393035</v>
      </c>
      <c r="T58" s="62">
        <f t="shared" si="34"/>
        <v>243.75878492878178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8.9303135425763447</v>
      </c>
      <c r="AA58" s="23">
        <f>EXP(-LN(2)/25)*AA57+(1-EXP(-LN(2)/25))/(LN(2)/25)*Calculateur!V58*Calculateur!X58*VLOOKUP('Données projet'!$B$9,Paramètres!$A$1:$I$89,3,0)*0.475*44/12</f>
        <v>3.9492825953514408</v>
      </c>
      <c r="AB58" s="23">
        <f>EXP(-LN(2)/2)*AB57+(1-EXP(-LN(2)/2))/(LN(2)/2)*V58*Y58*VLOOKUP('Données projet'!$B$9,Paramètres!$A$1:$I$89,3,0)*0.475*44/12</f>
        <v>0.10303839573362338</v>
      </c>
      <c r="AC58" s="24">
        <f t="shared" si="3"/>
        <v>12.982634533661409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272.85581758101404</v>
      </c>
      <c r="AO58" s="62">
        <f t="shared" si="36"/>
        <v>180.73985910201225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3.3033564949216097E-3</v>
      </c>
      <c r="AX58" s="23">
        <f t="shared" si="6"/>
        <v>3.3033564949216097E-3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528</v>
      </c>
      <c r="BB58" s="13">
        <f>VLOOKUP(A58,'Données projet'!$A$87:$I$107,9,0)</f>
        <v>13.6</v>
      </c>
      <c r="BC58" s="13">
        <f t="array" ref="BC58">INDEX(BB:BB,MIN(IF(ISNUMBER(BB58:BB254),ROW(BB58:BB254),"")))</f>
        <v>13.6</v>
      </c>
      <c r="BD58" s="13">
        <f>IF('Données projet'!$A$88&gt;35,BD57+BC58-BL57,IF(A58&lt;'Données projet'!$A$88,$BA$205^A58,IF(A58='Données projet'!$A$88,'Données projet'!$B$88,BD57+BC58-BL57)))</f>
        <v>527.99999999999989</v>
      </c>
      <c r="BE58" s="14">
        <f>BD58*VLOOKUP('Données projet'!$B$11,Paramètres!$A$1:$I$89,3,0)*VLOOKUP('Données projet'!$B$11,Paramètres!$A$1:$I$89,5,0)</f>
        <v>295.15199999999993</v>
      </c>
      <c r="BF58" s="14">
        <f t="shared" si="37"/>
        <v>70.159174796274201</v>
      </c>
      <c r="BG58" s="22">
        <f t="shared" si="7"/>
        <v>636.25029610351078</v>
      </c>
      <c r="BH58" s="62">
        <f t="shared" si="8"/>
        <v>929.58362943684415</v>
      </c>
      <c r="BI58" s="62">
        <f ca="1">AVERAGE(OFFSET($BH$3,0,0,'Données projet'!$E$11+1,1))-AVERAGE(OFFSET($H$3,0,0,'Données projet'!$E$11+1,1))</f>
        <v>282.598842734946</v>
      </c>
      <c r="BJ58" s="62">
        <f t="shared" si="38"/>
        <v>335.56869428808034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37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7.4676437232752528</v>
      </c>
      <c r="BQ58" s="23">
        <f>EXP(-LN(2)/25)*BQ57+(1-EXP(-LN(2)/25))/(LN(2)/25)*Calculateur!BL58*Calculateur!BN58*VLOOKUP('Données projet'!$B$11,Paramètres!$A$1:$I$89,3,0)*0.475*44/12</f>
        <v>8.0801834190317177</v>
      </c>
      <c r="BR58" s="23">
        <f>EXP(-LN(2)/2)*BR57+(1-EXP(-LN(2)/2))/(LN(2)/2)*BL58*BO58*VLOOKUP('Données projet'!$B$11,Paramètres!$A$1:$I$89,3,0)*0.475*44/12</f>
        <v>1.1056653679030946E-2</v>
      </c>
      <c r="BS58" s="24">
        <f t="shared" si="9"/>
        <v>15.558883795986002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349.56396117778473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314.1401276393035</v>
      </c>
      <c r="T59" s="62">
        <f t="shared" si="34"/>
        <v>243.75878492878178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8.755195540959841</v>
      </c>
      <c r="AA59" s="23">
        <f>EXP(-LN(2)/25)*AA58+(1-EXP(-LN(2)/25))/(LN(2)/25)*Calculateur!V59*Calculateur!X59*VLOOKUP('Données projet'!$B$9,Paramètres!$A$1:$I$89,3,0)*0.475*44/12</f>
        <v>3.8412892550978102</v>
      </c>
      <c r="AB59" s="23">
        <f>EXP(-LN(2)/2)*AB58+(1-EXP(-LN(2)/2))/(LN(2)/2)*V59*Y59*VLOOKUP('Données projet'!$B$9,Paramètres!$A$1:$I$89,3,0)*0.475*44/12</f>
        <v>7.2859148345828115E-2</v>
      </c>
      <c r="AC59" s="24">
        <f t="shared" si="3"/>
        <v>12.669343944403479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272.85581758101404</v>
      </c>
      <c r="AO59" s="62">
        <f t="shared" si="36"/>
        <v>180.73985910201225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2.3358257782356952E-3</v>
      </c>
      <c r="AX59" s="23">
        <f t="shared" si="6"/>
        <v>2.3358257782356952E-3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10.6</v>
      </c>
      <c r="BD59" s="13">
        <f>IF('Données projet'!$A$88&gt;35,BD58+BC59-BL58,IF(A59&lt;'Données projet'!$A$88,$BA$205^A59,IF(A59='Données projet'!$A$88,'Données projet'!$B$88,BD58+BC59-BL58)))</f>
        <v>501.59999999999991</v>
      </c>
      <c r="BE59" s="14">
        <f>BD59*VLOOKUP('Données projet'!$B$11,Paramètres!$A$1:$I$89,3,0)*VLOOKUP('Données projet'!$B$11,Paramètres!$A$1:$I$89,5,0)</f>
        <v>280.39439999999996</v>
      </c>
      <c r="BF59" s="14">
        <f t="shared" si="37"/>
        <v>67.050350109566494</v>
      </c>
      <c r="BG59" s="22">
        <f t="shared" si="7"/>
        <v>605.13293977416163</v>
      </c>
      <c r="BH59" s="62">
        <f t="shared" si="8"/>
        <v>898.466273107495</v>
      </c>
      <c r="BI59" s="62">
        <f ca="1">AVERAGE(OFFSET($BH$3,0,0,'Données projet'!$E$11+1,1))-AVERAGE(OFFSET($H$3,0,0,'Données projet'!$E$11+1,1))</f>
        <v>282.598842734946</v>
      </c>
      <c r="BJ59" s="62">
        <f t="shared" si="38"/>
        <v>335.56869428808034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7.3212077846747459</v>
      </c>
      <c r="BQ59" s="23">
        <f>EXP(-LN(2)/25)*BQ58+(1-EXP(-LN(2)/25))/(LN(2)/25)*Calculateur!BL59*Calculateur!BN59*VLOOKUP('Données projet'!$B$11,Paramètres!$A$1:$I$89,3,0)*0.475*44/12</f>
        <v>7.8592303785199169</v>
      </c>
      <c r="BR59" s="23">
        <f>EXP(-LN(2)/2)*BR58+(1-EXP(-LN(2)/2))/(LN(2)/2)*BL59*BO59*VLOOKUP('Données projet'!$B$11,Paramètres!$A$1:$I$89,3,0)*0.475*44/12</f>
        <v>7.8182347936739706E-3</v>
      </c>
      <c r="BS59" s="24">
        <f t="shared" si="9"/>
        <v>15.188256397988336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351.17804102468801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314.1401276393035</v>
      </c>
      <c r="T60" s="62">
        <f t="shared" si="34"/>
        <v>243.75878492878178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8.5835114965436041</v>
      </c>
      <c r="AA60" s="23">
        <f>EXP(-LN(2)/25)*AA59+(1-EXP(-LN(2)/25))/(LN(2)/25)*Calculateur!V60*Calculateur!X60*VLOOKUP('Données projet'!$B$9,Paramètres!$A$1:$I$89,3,0)*0.475*44/12</f>
        <v>3.7362489984125382</v>
      </c>
      <c r="AB60" s="23">
        <f>EXP(-LN(2)/2)*AB59+(1-EXP(-LN(2)/2))/(LN(2)/2)*V60*Y60*VLOOKUP('Données projet'!$B$9,Paramètres!$A$1:$I$89,3,0)*0.475*44/12</f>
        <v>5.1519197866811688E-2</v>
      </c>
      <c r="AC60" s="24">
        <f t="shared" si="3"/>
        <v>12.371279692822954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272.85581758101404</v>
      </c>
      <c r="AO60" s="62">
        <f t="shared" si="36"/>
        <v>180.73985910201225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1.6516782474608048E-3</v>
      </c>
      <c r="AX60" s="23">
        <f t="shared" si="6"/>
        <v>1.6516782474608048E-3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10.6</v>
      </c>
      <c r="BD60" s="13">
        <f>IF('Données projet'!$A$88&gt;35,BD59+BC60-BL59,IF(A60&lt;'Données projet'!$A$88,$BA$205^A60,IF(A60='Données projet'!$A$88,'Données projet'!$B$88,BD59+BC60-BL59)))</f>
        <v>512.19999999999993</v>
      </c>
      <c r="BE60" s="14">
        <f>BD60*VLOOKUP('Données projet'!$B$11,Paramètres!$A$1:$I$89,3,0)*VLOOKUP('Données projet'!$B$11,Paramètres!$A$1:$I$89,5,0)</f>
        <v>286.31979999999999</v>
      </c>
      <c r="BF60" s="14">
        <f t="shared" si="37"/>
        <v>68.300824449741782</v>
      </c>
      <c r="BG60" s="22">
        <f t="shared" si="7"/>
        <v>617.6309209166335</v>
      </c>
      <c r="BH60" s="62">
        <f t="shared" si="8"/>
        <v>910.96425424996687</v>
      </c>
      <c r="BI60" s="62">
        <f ca="1">AVERAGE(OFFSET($BH$3,0,0,'Données projet'!$E$11+1,1))-AVERAGE(OFFSET($H$3,0,0,'Données projet'!$E$11+1,1))</f>
        <v>282.598842734946</v>
      </c>
      <c r="BJ60" s="62">
        <f t="shared" si="38"/>
        <v>335.56869428808034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7.1776433655130916</v>
      </c>
      <c r="BQ60" s="23">
        <f>EXP(-LN(2)/25)*BQ59+(1-EXP(-LN(2)/25))/(LN(2)/25)*Calculateur!BL60*Calculateur!BN60*VLOOKUP('Données projet'!$B$11,Paramètres!$A$1:$I$89,3,0)*0.475*44/12</f>
        <v>7.6443193105203271</v>
      </c>
      <c r="BR60" s="23">
        <f>EXP(-LN(2)/2)*BR59+(1-EXP(-LN(2)/2))/(LN(2)/2)*BL60*BO60*VLOOKUP('Données projet'!$B$11,Paramètres!$A$1:$I$89,3,0)*0.475*44/12</f>
        <v>5.5283268395154728E-3</v>
      </c>
      <c r="BS60" s="24">
        <f t="shared" si="9"/>
        <v>14.827491002872934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352.79143316373177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314.1401276393035</v>
      </c>
      <c r="T61" s="62">
        <f t="shared" si="34"/>
        <v>243.75878492878178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8.4151940715214408</v>
      </c>
      <c r="AA61" s="23">
        <f>EXP(-LN(2)/25)*AA60+(1-EXP(-LN(2)/25))/(LN(2)/25)*Calculateur!V61*Calculateur!X61*VLOOKUP('Données projet'!$B$9,Paramètres!$A$1:$I$89,3,0)*0.475*44/12</f>
        <v>3.6340810730701518</v>
      </c>
      <c r="AB61" s="23">
        <f>EXP(-LN(2)/2)*AB60+(1-EXP(-LN(2)/2))/(LN(2)/2)*V61*Y61*VLOOKUP('Données projet'!$B$9,Paramètres!$A$1:$I$89,3,0)*0.475*44/12</f>
        <v>3.6429574172914057E-2</v>
      </c>
      <c r="AC61" s="24">
        <f t="shared" si="3"/>
        <v>12.085704718764507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272.85581758101404</v>
      </c>
      <c r="AO61" s="62">
        <f t="shared" si="36"/>
        <v>180.73985910201225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1.1679128891178476E-3</v>
      </c>
      <c r="AX61" s="23">
        <f t="shared" si="6"/>
        <v>1.1679128891178476E-3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10.6</v>
      </c>
      <c r="BD61" s="13">
        <f>IF('Données projet'!$A$88&gt;35,BD60+BC61-BL60,IF(A61&lt;'Données projet'!$A$88,$BA$205^A61,IF(A61='Données projet'!$A$88,'Données projet'!$B$88,BD60+BC61-BL60)))</f>
        <v>522.79999999999995</v>
      </c>
      <c r="BE61" s="14">
        <f>BD61*VLOOKUP('Données projet'!$B$11,Paramètres!$A$1:$I$89,3,0)*VLOOKUP('Données projet'!$B$11,Paramètres!$A$1:$I$89,5,0)</f>
        <v>292.24519999999995</v>
      </c>
      <c r="BF61" s="14">
        <f t="shared" si="37"/>
        <v>69.548289917009257</v>
      </c>
      <c r="BG61" s="22">
        <f t="shared" si="7"/>
        <v>630.12366160545764</v>
      </c>
      <c r="BH61" s="62">
        <f t="shared" si="8"/>
        <v>923.45699493879101</v>
      </c>
      <c r="BI61" s="62">
        <f ca="1">AVERAGE(OFFSET($BH$3,0,0,'Données projet'!$E$11+1,1))-AVERAGE(OFFSET($H$3,0,0,'Données projet'!$E$11+1,1))</f>
        <v>282.598842734946</v>
      </c>
      <c r="BJ61" s="62">
        <f t="shared" si="38"/>
        <v>335.56869428808034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7.0368941570455483</v>
      </c>
      <c r="BQ61" s="23">
        <f>EXP(-LN(2)/25)*BQ60+(1-EXP(-LN(2)/25))/(LN(2)/25)*Calculateur!BL61*Calculateur!BN61*VLOOKUP('Données projet'!$B$11,Paramètres!$A$1:$I$89,3,0)*0.475*44/12</f>
        <v>7.4352849969768675</v>
      </c>
      <c r="BR61" s="23">
        <f>EXP(-LN(2)/2)*BR60+(1-EXP(-LN(2)/2))/(LN(2)/2)*BL61*BO61*VLOOKUP('Données projet'!$B$11,Paramètres!$A$1:$I$89,3,0)*0.475*44/12</f>
        <v>3.9091173968369853E-3</v>
      </c>
      <c r="BS61" s="24">
        <f t="shared" si="9"/>
        <v>14.476088271419254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354.40415082015346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314.1401276393035</v>
      </c>
      <c r="T62" s="62">
        <f t="shared" si="34"/>
        <v>243.75878492878178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8.2501772485404707</v>
      </c>
      <c r="AA62" s="23">
        <f>EXP(-LN(2)/25)*AA61+(1-EXP(-LN(2)/25))/(LN(2)/25)*Calculateur!V62*Calculateur!X62*VLOOKUP('Données projet'!$B$9,Paramètres!$A$1:$I$89,3,0)*0.475*44/12</f>
        <v>3.5347069350190305</v>
      </c>
      <c r="AB62" s="23">
        <f>EXP(-LN(2)/2)*AB61+(1-EXP(-LN(2)/2))/(LN(2)/2)*V62*Y62*VLOOKUP('Données projet'!$B$9,Paramètres!$A$1:$I$89,3,0)*0.475*44/12</f>
        <v>2.5759598933405844E-2</v>
      </c>
      <c r="AC62" s="24">
        <f t="shared" si="3"/>
        <v>11.810643782492907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272.85581758101404</v>
      </c>
      <c r="AO62" s="62">
        <f t="shared" si="36"/>
        <v>180.73985910201225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8.2583912373040242E-4</v>
      </c>
      <c r="AX62" s="23">
        <f t="shared" si="6"/>
        <v>8.2583912373040242E-4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10.6</v>
      </c>
      <c r="BD62" s="13">
        <f>IF('Données projet'!$A$88&gt;35,BD61+BC62-BL61,IF(A62&lt;'Données projet'!$A$88,$BA$205^A62,IF(A62='Données projet'!$A$88,'Données projet'!$B$88,BD61+BC62-BL61)))</f>
        <v>533.4</v>
      </c>
      <c r="BE62" s="14">
        <f>BD62*VLOOKUP('Données projet'!$B$11,Paramètres!$A$1:$I$89,3,0)*VLOOKUP('Données projet'!$B$11,Paramètres!$A$1:$I$89,5,0)</f>
        <v>298.17059999999998</v>
      </c>
      <c r="BF62" s="14">
        <f t="shared" si="37"/>
        <v>70.792814547818836</v>
      </c>
      <c r="BG62" s="22">
        <f t="shared" si="7"/>
        <v>642.61128033745115</v>
      </c>
      <c r="BH62" s="62">
        <f t="shared" si="8"/>
        <v>935.94461367078452</v>
      </c>
      <c r="BI62" s="62">
        <f ca="1">AVERAGE(OFFSET($BH$3,0,0,'Données projet'!$E$11+1,1))-AVERAGE(OFFSET($H$3,0,0,'Données projet'!$E$11+1,1))</f>
        <v>282.598842734946</v>
      </c>
      <c r="BJ62" s="62">
        <f t="shared" si="38"/>
        <v>335.56869428808034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6.898904954707513</v>
      </c>
      <c r="BQ62" s="23">
        <f>EXP(-LN(2)/25)*BQ61+(1-EXP(-LN(2)/25))/(LN(2)/25)*Calculateur!BL62*Calculateur!BN62*VLOOKUP('Données projet'!$B$11,Paramètres!$A$1:$I$89,3,0)*0.475*44/12</f>
        <v>7.2319667377298904</v>
      </c>
      <c r="BR62" s="23">
        <f>EXP(-LN(2)/2)*BR61+(1-EXP(-LN(2)/2))/(LN(2)/2)*BL62*BO62*VLOOKUP('Données projet'!$B$11,Paramètres!$A$1:$I$89,3,0)*0.475*44/12</f>
        <v>2.7641634197577364E-3</v>
      </c>
      <c r="BS62" s="24">
        <f t="shared" si="9"/>
        <v>14.133635855857161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356.01620674518517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314.1401276393035</v>
      </c>
      <c r="T63" s="62">
        <f t="shared" si="34"/>
        <v>243.75878492878178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8.0883963048078336</v>
      </c>
      <c r="AA63" s="23">
        <f>EXP(-LN(2)/25)*AA62+(1-EXP(-LN(2)/25))/(LN(2)/25)*Calculateur!V63*Calculateur!X63*VLOOKUP('Données projet'!$B$9,Paramètres!$A$1:$I$89,3,0)*0.475*44/12</f>
        <v>3.4380501879987762</v>
      </c>
      <c r="AB63" s="23">
        <f>EXP(-LN(2)/2)*AB62+(1-EXP(-LN(2)/2))/(LN(2)/2)*V63*Y63*VLOOKUP('Données projet'!$B$9,Paramètres!$A$1:$I$89,3,0)*0.475*44/12</f>
        <v>1.8214787086457029E-2</v>
      </c>
      <c r="AC63" s="24">
        <f t="shared" si="3"/>
        <v>11.544661279893067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272.85581758101404</v>
      </c>
      <c r="AO63" s="62">
        <f t="shared" si="36"/>
        <v>180.73985910201225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5.839564445589238E-4</v>
      </c>
      <c r="AX63" s="23">
        <f t="shared" si="6"/>
        <v>5.839564445589238E-4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544</v>
      </c>
      <c r="BB63" s="13">
        <f>VLOOKUP(A63,'Données projet'!$A$87:$I$107,9,0)</f>
        <v>10.6</v>
      </c>
      <c r="BC63" s="13">
        <f t="array" ref="BC63">INDEX(BB:BB,MIN(IF(ISNUMBER(BB63:BB259),ROW(BB63:BB259),"")))</f>
        <v>10.6</v>
      </c>
      <c r="BD63" s="13">
        <f>IF('Données projet'!$A$88&gt;35,BD62+BC63-BL62,IF(A63&lt;'Données projet'!$A$88,$BA$205^A63,IF(A63='Données projet'!$A$88,'Données projet'!$B$88,BD62+BC63-BL62)))</f>
        <v>544</v>
      </c>
      <c r="BE63" s="14">
        <f>BD63*VLOOKUP('Données projet'!$B$11,Paramètres!$A$1:$I$89,3,0)*VLOOKUP('Données projet'!$B$11,Paramètres!$A$1:$I$89,5,0)</f>
        <v>304.096</v>
      </c>
      <c r="BF63" s="14">
        <f t="shared" si="37"/>
        <v>72.034463519873213</v>
      </c>
      <c r="BG63" s="22">
        <f t="shared" si="7"/>
        <v>655.0938906304458</v>
      </c>
      <c r="BH63" s="62">
        <f t="shared" si="8"/>
        <v>948.42722396377917</v>
      </c>
      <c r="BI63" s="62">
        <f ca="1">AVERAGE(OFFSET($BH$3,0,0,'Données projet'!$E$11+1,1))-AVERAGE(OFFSET($H$3,0,0,'Données projet'!$E$11+1,1))</f>
        <v>282.598842734946</v>
      </c>
      <c r="BJ63" s="62">
        <f t="shared" si="38"/>
        <v>335.56869428808034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544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6.7636216364622239</v>
      </c>
      <c r="BQ63" s="23">
        <f>EXP(-LN(2)/25)*BQ62+(1-EXP(-LN(2)/25))/(LN(2)/25)*Calculateur!BL63*Calculateur!BN63*VLOOKUP('Données projet'!$B$11,Paramètres!$A$1:$I$89,3,0)*0.475*44/12</f>
        <v>7.0342082269740649</v>
      </c>
      <c r="BR63" s="23">
        <f>EXP(-LN(2)/2)*BR62+(1-EXP(-LN(2)/2))/(LN(2)/2)*BL63*BO63*VLOOKUP('Données projet'!$B$11,Paramètres!$A$1:$I$89,3,0)*0.475*44/12</f>
        <v>1.9545586984184926E-3</v>
      </c>
      <c r="BS63" s="24">
        <f t="shared" si="9"/>
        <v>13.799784422134707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357.62761324065457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314.1401276393035</v>
      </c>
      <c r="T64" s="62">
        <f t="shared" si="34"/>
        <v>243.75878492878178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7.9297877867051616</v>
      </c>
      <c r="AA64" s="23">
        <f>EXP(-LN(2)/25)*AA63+(1-EXP(-LN(2)/25))/(LN(2)/25)*Calculateur!V64*Calculateur!X64*VLOOKUP('Données projet'!$B$9,Paramètres!$A$1:$I$89,3,0)*0.475*44/12</f>
        <v>3.344036524808748</v>
      </c>
      <c r="AB64" s="23">
        <f>EXP(-LN(2)/2)*AB63+(1-EXP(-LN(2)/2))/(LN(2)/2)*V64*Y64*VLOOKUP('Données projet'!$B$9,Paramètres!$A$1:$I$89,3,0)*0.475*44/12</f>
        <v>1.2879799466702922E-2</v>
      </c>
      <c r="AC64" s="24">
        <f t="shared" si="3"/>
        <v>11.286704110980612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272.85581758101404</v>
      </c>
      <c r="AO64" s="62">
        <f t="shared" si="36"/>
        <v>180.73985910201225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4.1291956186520121E-4</v>
      </c>
      <c r="AX64" s="23">
        <f t="shared" si="6"/>
        <v>4.1291956186520121E-4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282.598842734946</v>
      </c>
      <c r="BJ64" s="62">
        <f t="shared" si="38"/>
        <v>335.56869428808034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6.6309911415730483</v>
      </c>
      <c r="BQ64" s="23">
        <f>EXP(-LN(2)/25)*BQ63+(1-EXP(-LN(2)/25))/(LN(2)/25)*Calculateur!BL64*Calculateur!BN64*VLOOKUP('Données projet'!$B$11,Paramètres!$A$1:$I$89,3,0)*0.475*44/12</f>
        <v>6.8418574330945257</v>
      </c>
      <c r="BR64" s="23">
        <f>EXP(-LN(2)/2)*BR63+(1-EXP(-LN(2)/2))/(LN(2)/2)*BL64*BO64*VLOOKUP('Données projet'!$B$11,Paramètres!$A$1:$I$89,3,0)*0.475*44/12</f>
        <v>1.3820817098788682E-3</v>
      </c>
      <c r="BS64" s="24">
        <f t="shared" si="9"/>
        <v>13.474230656377452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359.23838218192606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314.1401276393035</v>
      </c>
      <c r="T65" s="62">
        <f t="shared" si="34"/>
        <v>243.75878492878178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7.7742894849008399</v>
      </c>
      <c r="AA65" s="23">
        <f>EXP(-LN(2)/25)*AA64+(1-EXP(-LN(2)/25))/(LN(2)/25)*Calculateur!V65*Calculateur!X65*VLOOKUP('Données projet'!$B$9,Paramètres!$A$1:$I$89,3,0)*0.475*44/12</f>
        <v>3.2525936701826148</v>
      </c>
      <c r="AB65" s="23">
        <f>EXP(-LN(2)/2)*AB64+(1-EXP(-LN(2)/2))/(LN(2)/2)*V65*Y65*VLOOKUP('Données projet'!$B$9,Paramètres!$A$1:$I$89,3,0)*0.475*44/12</f>
        <v>9.1073935432285143E-3</v>
      </c>
      <c r="AC65" s="24">
        <f t="shared" si="3"/>
        <v>11.035990548626684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272.85581758101404</v>
      </c>
      <c r="AO65" s="62">
        <f t="shared" si="36"/>
        <v>180.73985910201225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2.919782222794619E-4</v>
      </c>
      <c r="AX65" s="23">
        <f t="shared" si="6"/>
        <v>2.919782222794619E-4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282.598842734946</v>
      </c>
      <c r="BJ65" s="62">
        <f t="shared" si="38"/>
        <v>335.56869428808034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6.5009614497920358</v>
      </c>
      <c r="BQ65" s="23">
        <f>EXP(-LN(2)/25)*BQ64+(1-EXP(-LN(2)/25))/(LN(2)/25)*Calculateur!BL65*Calculateur!BN65*VLOOKUP('Données projet'!$B$11,Paramètres!$A$1:$I$89,3,0)*0.475*44/12</f>
        <v>6.6547664817889105</v>
      </c>
      <c r="BR65" s="23">
        <f>EXP(-LN(2)/2)*BR64+(1-EXP(-LN(2)/2))/(LN(2)/2)*BL65*BO65*VLOOKUP('Données projet'!$B$11,Paramètres!$A$1:$I$89,3,0)*0.475*44/12</f>
        <v>9.7727934920924632E-4</v>
      </c>
      <c r="BS65" s="24">
        <f t="shared" si="9"/>
        <v>13.156705210930156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360.84852503932069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314.1401276393035</v>
      </c>
      <c r="T66" s="62">
        <f t="shared" si="34"/>
        <v>243.75878492878178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7.6218404099503019</v>
      </c>
      <c r="AA66" s="23">
        <f>EXP(-LN(2)/25)*AA65+(1-EXP(-LN(2)/25))/(LN(2)/25)*Calculateur!V66*Calculateur!X66*VLOOKUP('Données projet'!$B$9,Paramètres!$A$1:$I$89,3,0)*0.475*44/12</f>
        <v>3.163651325225004</v>
      </c>
      <c r="AB66" s="23">
        <f>EXP(-LN(2)/2)*AB65+(1-EXP(-LN(2)/2))/(LN(2)/2)*V66*Y66*VLOOKUP('Données projet'!$B$9,Paramètres!$A$1:$I$89,3,0)*0.475*44/12</f>
        <v>6.439899733351461E-3</v>
      </c>
      <c r="AC66" s="24">
        <f t="shared" si="3"/>
        <v>10.791931634908657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272.85581758101404</v>
      </c>
      <c r="AO66" s="62">
        <f t="shared" si="36"/>
        <v>180.73985910201225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2.0645978093260061E-4</v>
      </c>
      <c r="AX66" s="23">
        <f t="shared" si="6"/>
        <v>2.0645978093260061E-4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282.598842734946</v>
      </c>
      <c r="BJ66" s="62">
        <f t="shared" si="38"/>
        <v>335.56869428808034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6.3734815609565683</v>
      </c>
      <c r="BQ66" s="23">
        <f>EXP(-LN(2)/25)*BQ65+(1-EXP(-LN(2)/25))/(LN(2)/25)*Calculateur!BL66*Calculateur!BN66*VLOOKUP('Données projet'!$B$11,Paramètres!$A$1:$I$89,3,0)*0.475*44/12</f>
        <v>6.4727915423854334</v>
      </c>
      <c r="BR66" s="23">
        <f>EXP(-LN(2)/2)*BR65+(1-EXP(-LN(2)/2))/(LN(2)/2)*BL66*BO66*VLOOKUP('Données projet'!$B$11,Paramètres!$A$1:$I$89,3,0)*0.475*44/12</f>
        <v>6.910408549394341E-4</v>
      </c>
      <c r="BS66" s="24">
        <f t="shared" si="9"/>
        <v>12.84696414419694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362.458052898137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314.1401276393035</v>
      </c>
      <c r="T67" s="62">
        <f t="shared" si="34"/>
        <v>243.75878492878178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7.4723807683747889</v>
      </c>
      <c r="AA67" s="23">
        <f>EXP(-LN(2)/25)*AA66+(1-EXP(-LN(2)/25))/(LN(2)/25)*Calculateur!V67*Calculateur!X67*VLOOKUP('Données projet'!$B$9,Paramètres!$A$1:$I$89,3,0)*0.475*44/12</f>
        <v>3.0771411133675337</v>
      </c>
      <c r="AB67" s="23">
        <f>EXP(-LN(2)/2)*AB66+(1-EXP(-LN(2)/2))/(LN(2)/2)*V67*Y67*VLOOKUP('Données projet'!$B$9,Paramètres!$A$1:$I$89,3,0)*0.475*44/12</f>
        <v>4.5536967716142572E-3</v>
      </c>
      <c r="AC67" s="24">
        <f t="shared" si="3"/>
        <v>10.554075578513936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272.85581758101404</v>
      </c>
      <c r="AO67" s="62">
        <f t="shared" si="36"/>
        <v>180.73985910201225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1.4598911113973095E-4</v>
      </c>
      <c r="AX67" s="23">
        <f t="shared" si="6"/>
        <v>1.4598911113973095E-4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282.598842734946</v>
      </c>
      <c r="BJ67" s="62">
        <f t="shared" si="38"/>
        <v>335.56869428808034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6.2485014749861092</v>
      </c>
      <c r="BQ67" s="23">
        <f>EXP(-LN(2)/25)*BQ66+(1-EXP(-LN(2)/25))/(LN(2)/25)*Calculateur!BL67*Calculateur!BN67*VLOOKUP('Données projet'!$B$11,Paramètres!$A$1:$I$89,3,0)*0.475*44/12</f>
        <v>6.29579271726959</v>
      </c>
      <c r="BR67" s="23">
        <f>EXP(-LN(2)/2)*BR66+(1-EXP(-LN(2)/2))/(LN(2)/2)*BL67*BO67*VLOOKUP('Données projet'!$B$11,Paramètres!$A$1:$I$89,3,0)*0.475*44/12</f>
        <v>4.8863967460462316E-4</v>
      </c>
      <c r="BS67" s="24">
        <f t="shared" si="9"/>
        <v>12.544782831930302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364.06697647738508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314.1401276393035</v>
      </c>
      <c r="T68" s="62">
        <f t="shared" si="34"/>
        <v>243.75878492878178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7.3258519392091923</v>
      </c>
      <c r="AA68" s="23">
        <f>EXP(-LN(2)/25)*AA67+(1-EXP(-LN(2)/25))/(LN(2)/25)*Calculateur!V68*Calculateur!X68*VLOOKUP('Données projet'!$B$9,Paramètres!$A$1:$I$89,3,0)*0.475*44/12</f>
        <v>2.9929965278026804</v>
      </c>
      <c r="AB68" s="23">
        <f>EXP(-LN(2)/2)*AB67+(1-EXP(-LN(2)/2))/(LN(2)/2)*V68*Y68*VLOOKUP('Données projet'!$B$9,Paramètres!$A$1:$I$89,3,0)*0.475*44/12</f>
        <v>3.2199498666757305E-3</v>
      </c>
      <c r="AC68" s="24">
        <f t="shared" ref="AC68:AC131" si="57">SUM(Z68:AB68)</f>
        <v>10.322068416878547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272.85581758101404</v>
      </c>
      <c r="AO68" s="62">
        <f t="shared" si="36"/>
        <v>180.73985910201225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1.032298904663003E-4</v>
      </c>
      <c r="AX68" s="23">
        <f t="shared" ref="AX68:AX131" si="60">SUM(AU68:AW68)</f>
        <v>1.032298904663003E-4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282.598842734946</v>
      </c>
      <c r="BJ68" s="62">
        <f t="shared" si="38"/>
        <v>335.56869428808034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6.1259721722712053</v>
      </c>
      <c r="BQ68" s="23">
        <f>EXP(-LN(2)/25)*BQ67+(1-EXP(-LN(2)/25))/(LN(2)/25)*Calculateur!BL68*Calculateur!BN68*VLOOKUP('Données projet'!$B$11,Paramètres!$A$1:$I$89,3,0)*0.475*44/12</f>
        <v>6.123633934334503</v>
      </c>
      <c r="BR68" s="23">
        <f>EXP(-LN(2)/2)*BR67+(1-EXP(-LN(2)/2))/(LN(2)/2)*BL68*BO68*VLOOKUP('Données projet'!$B$11,Paramètres!$A$1:$I$89,3,0)*0.475*44/12</f>
        <v>3.4552042746971705E-4</v>
      </c>
      <c r="BS68" s="24">
        <f t="shared" ref="BS68:BS131" si="63">SUM(BP68:BR68)</f>
        <v>12.249951627033177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365.67530614733545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314.1401276393035</v>
      </c>
      <c r="T69" s="62">
        <f t="shared" ref="T69:T132" si="88">$T$3</f>
        <v>243.75878492878178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7.182196451009772</v>
      </c>
      <c r="AA69" s="23">
        <f>EXP(-LN(2)/25)*AA68+(1-EXP(-LN(2)/25))/(LN(2)/25)*Calculateur!V69*Calculateur!X69*VLOOKUP('Données projet'!$B$9,Paramètres!$A$1:$I$89,3,0)*0.475*44/12</f>
        <v>2.9111528803550693</v>
      </c>
      <c r="AB69" s="23">
        <f>EXP(-LN(2)/2)*AB68+(1-EXP(-LN(2)/2))/(LN(2)/2)*V69*Y69*VLOOKUP('Données projet'!$B$9,Paramètres!$A$1:$I$89,3,0)*0.475*44/12</f>
        <v>2.2768483858071286E-3</v>
      </c>
      <c r="AC69" s="24">
        <f t="shared" si="57"/>
        <v>10.095626179750649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272.85581758101404</v>
      </c>
      <c r="AO69" s="62">
        <f t="shared" ref="AO69:AO132" si="90">$AO$3</f>
        <v>180.73985910201225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7.2994555569865475E-5</v>
      </c>
      <c r="AX69" s="23">
        <f t="shared" si="60"/>
        <v>7.2994555569865475E-5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282.598842734946</v>
      </c>
      <c r="BJ69" s="62">
        <f t="shared" ref="BJ69:BJ132" si="92">$BJ$3</f>
        <v>335.56869428808034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6.0058455944470461</v>
      </c>
      <c r="BQ69" s="23">
        <f>EXP(-LN(2)/25)*BQ68+(1-EXP(-LN(2)/25))/(LN(2)/25)*Calculateur!BL69*Calculateur!BN69*VLOOKUP('Données projet'!$B$11,Paramètres!$A$1:$I$89,3,0)*0.475*44/12</f>
        <v>5.956182842372213</v>
      </c>
      <c r="BR69" s="23">
        <f>EXP(-LN(2)/2)*BR68+(1-EXP(-LN(2)/2))/(LN(2)/2)*BL69*BO69*VLOOKUP('Données projet'!$B$11,Paramètres!$A$1:$I$89,3,0)*0.475*44/12</f>
        <v>2.4431983730231158E-4</v>
      </c>
      <c r="BS69" s="24">
        <f t="shared" si="63"/>
        <v>11.962272756656562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367.28305194597363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314.1401276393035</v>
      </c>
      <c r="T70" s="62">
        <f t="shared" si="88"/>
        <v>243.75878492878178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7.0413579593127462</v>
      </c>
      <c r="AA70" s="23">
        <f>EXP(-LN(2)/25)*AA69+(1-EXP(-LN(2)/25))/(LN(2)/25)*Calculateur!V70*Calculateur!X70*VLOOKUP('Données projet'!$B$9,Paramètres!$A$1:$I$89,3,0)*0.475*44/12</f>
        <v>2.8315472517508833</v>
      </c>
      <c r="AB70" s="23">
        <f>EXP(-LN(2)/2)*AB69+(1-EXP(-LN(2)/2))/(LN(2)/2)*V70*Y70*VLOOKUP('Données projet'!$B$9,Paramètres!$A$1:$I$89,3,0)*0.475*44/12</f>
        <v>1.6099749333378652E-3</v>
      </c>
      <c r="AC70" s="24">
        <f t="shared" si="57"/>
        <v>9.8745151859969678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272.85581758101404</v>
      </c>
      <c r="AO70" s="62">
        <f t="shared" si="90"/>
        <v>180.73985910201225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5.1614945233150151E-5</v>
      </c>
      <c r="AX70" s="23">
        <f t="shared" si="60"/>
        <v>5.1614945233150151E-5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282.598842734946</v>
      </c>
      <c r="BJ70" s="62">
        <f t="shared" si="92"/>
        <v>335.56869428808034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5.888074625544041</v>
      </c>
      <c r="BQ70" s="23">
        <f>EXP(-LN(2)/25)*BQ69+(1-EXP(-LN(2)/25))/(LN(2)/25)*Calculateur!BL70*Calculateur!BN70*VLOOKUP('Données projet'!$B$11,Paramètres!$A$1:$I$89,3,0)*0.475*44/12</f>
        <v>5.7933107093255023</v>
      </c>
      <c r="BR70" s="23">
        <f>EXP(-LN(2)/2)*BR69+(1-EXP(-LN(2)/2))/(LN(2)/2)*BL70*BO70*VLOOKUP('Données projet'!$B$11,Paramètres!$A$1:$I$89,3,0)*0.475*44/12</f>
        <v>1.7276021373485853E-4</v>
      </c>
      <c r="BS70" s="24">
        <f t="shared" si="63"/>
        <v>11.681558095083277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368.89022359444488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314.1401276393035</v>
      </c>
      <c r="T71" s="62">
        <f t="shared" si="88"/>
        <v>243.75878492878178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6.9032812245349016</v>
      </c>
      <c r="AA71" s="23">
        <f>EXP(-LN(2)/25)*AA70+(1-EXP(-LN(2)/25))/(LN(2)/25)*Calculateur!V71*Calculateur!X71*VLOOKUP('Données projet'!$B$9,Paramètres!$A$1:$I$89,3,0)*0.475*44/12</f>
        <v>2.7541184432471568</v>
      </c>
      <c r="AB71" s="23">
        <f>EXP(-LN(2)/2)*AB70+(1-EXP(-LN(2)/2))/(LN(2)/2)*V71*Y71*VLOOKUP('Données projet'!$B$9,Paramètres!$A$1:$I$89,3,0)*0.475*44/12</f>
        <v>1.1384241929035643E-3</v>
      </c>
      <c r="AC71" s="24">
        <f t="shared" si="57"/>
        <v>9.6585380919749628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272.85581758101404</v>
      </c>
      <c r="AO71" s="62">
        <f t="shared" si="90"/>
        <v>180.73985910201225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3.6497277784932738E-5</v>
      </c>
      <c r="AX71" s="23">
        <f t="shared" si="60"/>
        <v>3.6497277784932738E-5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282.598842734946</v>
      </c>
      <c r="BJ71" s="62">
        <f t="shared" si="92"/>
        <v>335.56869428808034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5.7726130735080252</v>
      </c>
      <c r="BQ71" s="23">
        <f>EXP(-LN(2)/25)*BQ70+(1-EXP(-LN(2)/25))/(LN(2)/25)*Calculateur!BL71*Calculateur!BN71*VLOOKUP('Données projet'!$B$11,Paramètres!$A$1:$I$89,3,0)*0.475*44/12</f>
        <v>5.6348923233220267</v>
      </c>
      <c r="BR71" s="23">
        <f>EXP(-LN(2)/2)*BR70+(1-EXP(-LN(2)/2))/(LN(2)/2)*BL71*BO71*VLOOKUP('Données projet'!$B$11,Paramètres!$A$1:$I$89,3,0)*0.475*44/12</f>
        <v>1.2215991865115579E-4</v>
      </c>
      <c r="BS71" s="24">
        <f t="shared" si="63"/>
        <v>11.407627556748704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370.49683051156433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314.1401276393035</v>
      </c>
      <c r="T72" s="62">
        <f t="shared" si="88"/>
        <v>243.75878492878178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6.7679120903075587</v>
      </c>
      <c r="AA72" s="23">
        <f>EXP(-LN(2)/25)*AA71+(1-EXP(-LN(2)/25))/(LN(2)/25)*Calculateur!V72*Calculateur!X72*VLOOKUP('Données projet'!$B$9,Paramètres!$A$1:$I$89,3,0)*0.475*44/12</f>
        <v>2.6788069295837689</v>
      </c>
      <c r="AB72" s="23">
        <f>EXP(-LN(2)/2)*AB71+(1-EXP(-LN(2)/2))/(LN(2)/2)*V72*Y72*VLOOKUP('Données projet'!$B$9,Paramètres!$A$1:$I$89,3,0)*0.475*44/12</f>
        <v>8.0498746666893262E-4</v>
      </c>
      <c r="AC72" s="24">
        <f t="shared" si="57"/>
        <v>9.4475240073579965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272.85581758101404</v>
      </c>
      <c r="AO72" s="62">
        <f t="shared" si="90"/>
        <v>180.73985910201225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2.5807472616575076E-5</v>
      </c>
      <c r="AX72" s="23">
        <f t="shared" si="60"/>
        <v>2.5807472616575076E-5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282.598842734946</v>
      </c>
      <c r="BJ72" s="62">
        <f t="shared" si="92"/>
        <v>335.56869428808034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5.6594156520828429</v>
      </c>
      <c r="BQ72" s="23">
        <f>EXP(-LN(2)/25)*BQ71+(1-EXP(-LN(2)/25))/(LN(2)/25)*Calculateur!BL72*Calculateur!BN72*VLOOKUP('Données projet'!$B$11,Paramètres!$A$1:$I$89,3,0)*0.475*44/12</f>
        <v>5.4808058964146777</v>
      </c>
      <c r="BR72" s="23">
        <f>EXP(-LN(2)/2)*BR71+(1-EXP(-LN(2)/2))/(LN(2)/2)*BL72*BO72*VLOOKUP('Données projet'!$B$11,Paramètres!$A$1:$I$89,3,0)*0.475*44/12</f>
        <v>8.6380106867429263E-5</v>
      </c>
      <c r="BS72" s="24">
        <f t="shared" si="63"/>
        <v>11.14030792860439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372.10288182746234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314.1401276393035</v>
      </c>
      <c r="T73" s="62">
        <f t="shared" si="88"/>
        <v>243.75878492878178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6.6351974622353946</v>
      </c>
      <c r="AA73" s="23">
        <f>EXP(-LN(2)/25)*AA72+(1-EXP(-LN(2)/25))/(LN(2)/25)*Calculateur!V73*Calculateur!X73*VLOOKUP('Données projet'!$B$9,Paramètres!$A$1:$I$89,3,0)*0.475*44/12</f>
        <v>2.6055548132219668</v>
      </c>
      <c r="AB73" s="23">
        <f>EXP(-LN(2)/2)*AB72+(1-EXP(-LN(2)/2))/(LN(2)/2)*V73*Y73*VLOOKUP('Données projet'!$B$9,Paramètres!$A$1:$I$89,3,0)*0.475*44/12</f>
        <v>5.6921209645178215E-4</v>
      </c>
      <c r="AC73" s="24">
        <f t="shared" si="57"/>
        <v>9.2413214875538117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272.85581758101404</v>
      </c>
      <c r="AO73" s="62">
        <f t="shared" si="90"/>
        <v>180.73985910201225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1.8248638892466369E-5</v>
      </c>
      <c r="AX73" s="23">
        <f t="shared" si="60"/>
        <v>1.8248638892466369E-5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282.598842734946</v>
      </c>
      <c r="BJ73" s="62">
        <f t="shared" si="92"/>
        <v>335.56869428808034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5.5484379630481993</v>
      </c>
      <c r="BQ73" s="23">
        <f>EXP(-LN(2)/25)*BQ72+(1-EXP(-LN(2)/25))/(LN(2)/25)*Calculateur!BL73*Calculateur!BN73*VLOOKUP('Données projet'!$B$11,Paramètres!$A$1:$I$89,3,0)*0.475*44/12</f>
        <v>5.3309329709541631</v>
      </c>
      <c r="BR73" s="23">
        <f>EXP(-LN(2)/2)*BR72+(1-EXP(-LN(2)/2))/(LN(2)/2)*BL73*BO73*VLOOKUP('Données projet'!$B$11,Paramètres!$A$1:$I$89,3,0)*0.475*44/12</f>
        <v>6.1079959325577895E-5</v>
      </c>
      <c r="BS73" s="24">
        <f t="shared" si="63"/>
        <v>10.879432013961688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373.70838639642767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314.1401276393035</v>
      </c>
      <c r="T74" s="62">
        <f t="shared" si="88"/>
        <v>243.75878492878178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6.5050852870717959</v>
      </c>
      <c r="AA74" s="23">
        <f>EXP(-LN(2)/25)*AA73+(1-EXP(-LN(2)/25))/(LN(2)/25)*Calculateur!V74*Calculateur!X74*VLOOKUP('Données projet'!$B$9,Paramètres!$A$1:$I$89,3,0)*0.475*44/12</f>
        <v>2.5343057798342397</v>
      </c>
      <c r="AB74" s="23">
        <f>EXP(-LN(2)/2)*AB73+(1-EXP(-LN(2)/2))/(LN(2)/2)*V74*Y74*VLOOKUP('Données projet'!$B$9,Paramètres!$A$1:$I$89,3,0)*0.475*44/12</f>
        <v>4.0249373333446631E-4</v>
      </c>
      <c r="AC74" s="24">
        <f t="shared" si="57"/>
        <v>9.0397935606393691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272.85581758101404</v>
      </c>
      <c r="AO74" s="62">
        <f t="shared" si="90"/>
        <v>180.73985910201225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1.2903736308287538E-5</v>
      </c>
      <c r="AX74" s="23">
        <f t="shared" si="60"/>
        <v>1.2903736308287538E-5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282.598842734946</v>
      </c>
      <c r="BJ74" s="62">
        <f t="shared" si="92"/>
        <v>335.56869428808034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5.4396364788058182</v>
      </c>
      <c r="BQ74" s="23">
        <f>EXP(-LN(2)/25)*BQ73+(1-EXP(-LN(2)/25))/(LN(2)/25)*Calculateur!BL74*Calculateur!BN74*VLOOKUP('Données projet'!$B$11,Paramètres!$A$1:$I$89,3,0)*0.475*44/12</f>
        <v>5.1851583285218403</v>
      </c>
      <c r="BR74" s="23">
        <f>EXP(-LN(2)/2)*BR73+(1-EXP(-LN(2)/2))/(LN(2)/2)*BL74*BO74*VLOOKUP('Données projet'!$B$11,Paramètres!$A$1:$I$89,3,0)*0.475*44/12</f>
        <v>4.3190053433714632E-5</v>
      </c>
      <c r="BS74" s="24">
        <f t="shared" si="63"/>
        <v>10.624837997381093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375.31335280900663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314.1401276393035</v>
      </c>
      <c r="T75" s="62">
        <f t="shared" si="88"/>
        <v>243.75878492878178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6.377524532302564</v>
      </c>
      <c r="AA75" s="23">
        <f>EXP(-LN(2)/25)*AA74+(1-EXP(-LN(2)/25))/(LN(2)/25)*Calculateur!V75*Calculateur!X75*VLOOKUP('Données projet'!$B$9,Paramètres!$A$1:$I$89,3,0)*0.475*44/12</f>
        <v>2.4650050550113236</v>
      </c>
      <c r="AB75" s="23">
        <f>EXP(-LN(2)/2)*AB74+(1-EXP(-LN(2)/2))/(LN(2)/2)*V75*Y75*VLOOKUP('Données projet'!$B$9,Paramètres!$A$1:$I$89,3,0)*0.475*44/12</f>
        <v>2.8460604822589107E-4</v>
      </c>
      <c r="AC75" s="24">
        <f t="shared" si="57"/>
        <v>8.8428141933621127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272.85581758101404</v>
      </c>
      <c r="AO75" s="62">
        <f t="shared" si="90"/>
        <v>180.73985910201225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9.1243194462331844E-6</v>
      </c>
      <c r="AX75" s="23">
        <f t="shared" si="60"/>
        <v>9.1243194462331844E-6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282.598842734946</v>
      </c>
      <c r="BJ75" s="62">
        <f t="shared" si="92"/>
        <v>335.56869428808034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5.332968525307078</v>
      </c>
      <c r="BQ75" s="23">
        <f>EXP(-LN(2)/25)*BQ74+(1-EXP(-LN(2)/25))/(LN(2)/25)*Calculateur!BL75*Calculateur!BN75*VLOOKUP('Données projet'!$B$11,Paramètres!$A$1:$I$89,3,0)*0.475*44/12</f>
        <v>5.0433699013527846</v>
      </c>
      <c r="BR75" s="23">
        <f>EXP(-LN(2)/2)*BR74+(1-EXP(-LN(2)/2))/(LN(2)/2)*BL75*BO75*VLOOKUP('Données projet'!$B$11,Paramètres!$A$1:$I$89,3,0)*0.475*44/12</f>
        <v>3.0539979662788948E-5</v>
      </c>
      <c r="BS75" s="24">
        <f t="shared" si="63"/>
        <v>10.376368966639527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376.91778940341101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314.1401276393035</v>
      </c>
      <c r="T76" s="62">
        <f t="shared" si="88"/>
        <v>243.75878492878178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6.252465166129979</v>
      </c>
      <c r="AA76" s="23">
        <f>EXP(-LN(2)/25)*AA75+(1-EXP(-LN(2)/25))/(LN(2)/25)*Calculateur!V76*Calculateur!X76*VLOOKUP('Données projet'!$B$9,Paramètres!$A$1:$I$89,3,0)*0.475*44/12</f>
        <v>2.3975993621530569</v>
      </c>
      <c r="AB76" s="23">
        <f>EXP(-LN(2)/2)*AB75+(1-EXP(-LN(2)/2))/(LN(2)/2)*V76*Y76*VLOOKUP('Données projet'!$B$9,Paramètres!$A$1:$I$89,3,0)*0.475*44/12</f>
        <v>2.0124686666723315E-4</v>
      </c>
      <c r="AC76" s="24">
        <f t="shared" si="57"/>
        <v>8.6502657751497036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272.85581758101404</v>
      </c>
      <c r="AO76" s="62">
        <f t="shared" si="90"/>
        <v>180.73985910201225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6.4518681541437689E-6</v>
      </c>
      <c r="AX76" s="23">
        <f t="shared" si="60"/>
        <v>6.4518681541437689E-6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282.598842734946</v>
      </c>
      <c r="BJ76" s="62">
        <f t="shared" si="92"/>
        <v>335.56869428808034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5.2283922653154207</v>
      </c>
      <c r="BQ76" s="23">
        <f>EXP(-LN(2)/25)*BQ75+(1-EXP(-LN(2)/25))/(LN(2)/25)*Calculateur!BL76*Calculateur!BN76*VLOOKUP('Données projet'!$B$11,Paramètres!$A$1:$I$89,3,0)*0.475*44/12</f>
        <v>4.9054586861809968</v>
      </c>
      <c r="BR76" s="23">
        <f>EXP(-LN(2)/2)*BR75+(1-EXP(-LN(2)/2))/(LN(2)/2)*BL76*BO76*VLOOKUP('Données projet'!$B$11,Paramètres!$A$1:$I$89,3,0)*0.475*44/12</f>
        <v>2.1595026716857316E-5</v>
      </c>
      <c r="BS76" s="24">
        <f t="shared" si="63"/>
        <v>10.133872546523133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378.52170427628317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314.1401276393035</v>
      </c>
      <c r="T77" s="62">
        <f t="shared" si="88"/>
        <v>243.75878492878178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6.1298581378493573</v>
      </c>
      <c r="AA77" s="23">
        <f>EXP(-LN(2)/25)*AA76+(1-EXP(-LN(2)/25))/(LN(2)/25)*Calculateur!V77*Calculateur!X77*VLOOKUP('Données projet'!$B$9,Paramètres!$A$1:$I$89,3,0)*0.475*44/12</f>
        <v>2.3320368815107111</v>
      </c>
      <c r="AB77" s="23">
        <f>EXP(-LN(2)/2)*AB76+(1-EXP(-LN(2)/2))/(LN(2)/2)*V77*Y77*VLOOKUP('Données projet'!$B$9,Paramètres!$A$1:$I$89,3,0)*0.475*44/12</f>
        <v>1.4230302411294554E-4</v>
      </c>
      <c r="AC77" s="24">
        <f t="shared" si="57"/>
        <v>8.4620373223841803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272.85581758101404</v>
      </c>
      <c r="AO77" s="62">
        <f t="shared" si="90"/>
        <v>180.73985910201225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4.5621597231165922E-6</v>
      </c>
      <c r="AX77" s="23">
        <f t="shared" si="60"/>
        <v>4.5621597231165922E-6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282.598842734946</v>
      </c>
      <c r="BJ77" s="62">
        <f t="shared" si="92"/>
        <v>335.56869428808034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5.1258666819969791</v>
      </c>
      <c r="BQ77" s="23">
        <f>EXP(-LN(2)/25)*BQ76+(1-EXP(-LN(2)/25))/(LN(2)/25)*Calculateur!BL77*Calculateur!BN77*VLOOKUP('Données projet'!$B$11,Paramètres!$A$1:$I$89,3,0)*0.475*44/12</f>
        <v>4.7713186604405164</v>
      </c>
      <c r="BR77" s="23">
        <f>EXP(-LN(2)/2)*BR76+(1-EXP(-LN(2)/2))/(LN(2)/2)*BL77*BO77*VLOOKUP('Données projet'!$B$11,Paramètres!$A$1:$I$89,3,0)*0.475*44/12</f>
        <v>1.5269989831394474E-5</v>
      </c>
      <c r="BS77" s="24">
        <f t="shared" si="63"/>
        <v>9.8972006124273264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380.12510529286249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314.1401276393035</v>
      </c>
      <c r="T78" s="62">
        <f t="shared" si="88"/>
        <v>243.75878492878178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6.0096553586104156</v>
      </c>
      <c r="AA78" s="23">
        <f>EXP(-LN(2)/25)*AA77+(1-EXP(-LN(2)/25))/(LN(2)/25)*Calculateur!V78*Calculateur!X78*VLOOKUP('Données projet'!$B$9,Paramètres!$A$1:$I$89,3,0)*0.475*44/12</f>
        <v>2.2682672103493111</v>
      </c>
      <c r="AB78" s="23">
        <f>EXP(-LN(2)/2)*AB77+(1-EXP(-LN(2)/2))/(LN(2)/2)*V78*Y78*VLOOKUP('Données projet'!$B$9,Paramètres!$A$1:$I$89,3,0)*0.475*44/12</f>
        <v>1.0062343333361658E-4</v>
      </c>
      <c r="AC78" s="24">
        <f t="shared" si="57"/>
        <v>8.2780231923930607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272.85581758101404</v>
      </c>
      <c r="AO78" s="62">
        <f t="shared" si="90"/>
        <v>180.73985910201225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3.2259340770718845E-6</v>
      </c>
      <c r="AX78" s="23">
        <f t="shared" si="60"/>
        <v>3.2259340770718845E-6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282.598842734946</v>
      </c>
      <c r="BJ78" s="62">
        <f t="shared" si="92"/>
        <v>335.56869428808034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5.0253515628329808</v>
      </c>
      <c r="BQ78" s="23">
        <f>EXP(-LN(2)/25)*BQ77+(1-EXP(-LN(2)/25))/(LN(2)/25)*Calculateur!BL78*Calculateur!BN78*VLOOKUP('Données projet'!$B$11,Paramètres!$A$1:$I$89,3,0)*0.475*44/12</f>
        <v>4.6408467007580274</v>
      </c>
      <c r="BR78" s="23">
        <f>EXP(-LN(2)/2)*BR77+(1-EXP(-LN(2)/2))/(LN(2)/2)*BL78*BO78*VLOOKUP('Données projet'!$B$11,Paramètres!$A$1:$I$89,3,0)*0.475*44/12</f>
        <v>1.0797513358428658E-5</v>
      </c>
      <c r="BS78" s="24">
        <f t="shared" si="63"/>
        <v>9.6662090611043663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381.72800009659437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314.1401276393035</v>
      </c>
      <c r="T79" s="62">
        <f t="shared" si="88"/>
        <v>243.75878492878178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5.891809682555893</v>
      </c>
      <c r="AA79" s="23">
        <f>EXP(-LN(2)/25)*AA78+(1-EXP(-LN(2)/25))/(LN(2)/25)*Calculateur!V79*Calculateur!X79*VLOOKUP('Données projet'!$B$9,Paramètres!$A$1:$I$89,3,0)*0.475*44/12</f>
        <v>2.2062413241993206</v>
      </c>
      <c r="AB79" s="23">
        <f>EXP(-LN(2)/2)*AB78+(1-EXP(-LN(2)/2))/(LN(2)/2)*V79*Y79*VLOOKUP('Données projet'!$B$9,Paramètres!$A$1:$I$89,3,0)*0.475*44/12</f>
        <v>7.1151512056472768E-5</v>
      </c>
      <c r="AC79" s="24">
        <f t="shared" si="57"/>
        <v>8.0981221582672696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272.85581758101404</v>
      </c>
      <c r="AO79" s="62">
        <f t="shared" si="90"/>
        <v>180.73985910201225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2.2810798615582961E-6</v>
      </c>
      <c r="AX79" s="23">
        <f t="shared" si="60"/>
        <v>2.2810798615582961E-6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282.598842734946</v>
      </c>
      <c r="BJ79" s="62">
        <f t="shared" si="92"/>
        <v>335.56869428808034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4.9268074838476199</v>
      </c>
      <c r="BQ79" s="23">
        <f>EXP(-LN(2)/25)*BQ78+(1-EXP(-LN(2)/25))/(LN(2)/25)*Calculateur!BL79*Calculateur!BN79*VLOOKUP('Données projet'!$B$11,Paramètres!$A$1:$I$89,3,0)*0.475*44/12</f>
        <v>4.5139425036742775</v>
      </c>
      <c r="BR79" s="23">
        <f>EXP(-LN(2)/2)*BR78+(1-EXP(-LN(2)/2))/(LN(2)/2)*BL79*BO79*VLOOKUP('Données projet'!$B$11,Paramètres!$A$1:$I$89,3,0)*0.475*44/12</f>
        <v>7.6349949156972369E-6</v>
      </c>
      <c r="BS79" s="24">
        <f t="shared" si="63"/>
        <v>9.4407576225168128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383.33039611821886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314.1401276393035</v>
      </c>
      <c r="T80" s="62">
        <f t="shared" si="88"/>
        <v>243.75878492878178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5.7762748883300352</v>
      </c>
      <c r="AA80" s="23">
        <f>EXP(-LN(2)/25)*AA79+(1-EXP(-LN(2)/25))/(LN(2)/25)*Calculateur!V80*Calculateur!X80*VLOOKUP('Données projet'!$B$9,Paramètres!$A$1:$I$89,3,0)*0.475*44/12</f>
        <v>2.1459115391679013</v>
      </c>
      <c r="AB80" s="23">
        <f>EXP(-LN(2)/2)*AB79+(1-EXP(-LN(2)/2))/(LN(2)/2)*V80*Y80*VLOOKUP('Données projet'!$B$9,Paramètres!$A$1:$I$89,3,0)*0.475*44/12</f>
        <v>5.0311716666808289E-5</v>
      </c>
      <c r="AC80" s="24">
        <f t="shared" si="57"/>
        <v>7.9222367392146031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272.85581758101404</v>
      </c>
      <c r="AO80" s="62">
        <f t="shared" si="90"/>
        <v>180.73985910201225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1.6129670385359422E-6</v>
      </c>
      <c r="AX80" s="23">
        <f t="shared" si="60"/>
        <v>1.6129670385359422E-6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282.598842734946</v>
      </c>
      <c r="BJ80" s="62">
        <f t="shared" si="92"/>
        <v>335.56869428808034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4.8301957941452089</v>
      </c>
      <c r="BQ80" s="23">
        <f>EXP(-LN(2)/25)*BQ79+(1-EXP(-LN(2)/25))/(LN(2)/25)*Calculateur!BL80*Calculateur!BN80*VLOOKUP('Données projet'!$B$11,Paramètres!$A$1:$I$89,3,0)*0.475*44/12</f>
        <v>4.3905085085333848</v>
      </c>
      <c r="BR80" s="23">
        <f>EXP(-LN(2)/2)*BR79+(1-EXP(-LN(2)/2))/(LN(2)/2)*BL80*BO80*VLOOKUP('Données projet'!$B$11,Paramètres!$A$1:$I$89,3,0)*0.475*44/12</f>
        <v>5.3987566792143289E-6</v>
      </c>
      <c r="BS80" s="24">
        <f t="shared" si="63"/>
        <v>9.2207097014352737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384.93230058437427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314.1401276393035</v>
      </c>
      <c r="T81" s="62">
        <f t="shared" si="88"/>
        <v>243.75878492878178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5.6630056609496799</v>
      </c>
      <c r="AA81" s="23">
        <f>EXP(-LN(2)/25)*AA80+(1-EXP(-LN(2)/25))/(LN(2)/25)*Calculateur!V81*Calculateur!X81*VLOOKUP('Données projet'!$B$9,Paramètres!$A$1:$I$89,3,0)*0.475*44/12</f>
        <v>2.0872314752807717</v>
      </c>
      <c r="AB81" s="23">
        <f>EXP(-LN(2)/2)*AB80+(1-EXP(-LN(2)/2))/(LN(2)/2)*V81*Y81*VLOOKUP('Données projet'!$B$9,Paramètres!$A$1:$I$89,3,0)*0.475*44/12</f>
        <v>3.5575756028236384E-5</v>
      </c>
      <c r="AC81" s="24">
        <f t="shared" si="57"/>
        <v>7.7502727119864794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272.85581758101404</v>
      </c>
      <c r="AO81" s="62">
        <f t="shared" si="90"/>
        <v>180.73985910201225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1.1405399307791481E-6</v>
      </c>
      <c r="AX81" s="23">
        <f t="shared" si="60"/>
        <v>1.1405399307791481E-6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282.598842734946</v>
      </c>
      <c r="BJ81" s="62">
        <f t="shared" si="92"/>
        <v>335.56869428808034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4.7354786007505494</v>
      </c>
      <c r="BQ81" s="23">
        <f>EXP(-LN(2)/25)*BQ80+(1-EXP(-LN(2)/25))/(LN(2)/25)*Calculateur!BL81*Calculateur!BN81*VLOOKUP('Données projet'!$B$11,Paramètres!$A$1:$I$89,3,0)*0.475*44/12</f>
        <v>4.2704498224807317</v>
      </c>
      <c r="BR81" s="23">
        <f>EXP(-LN(2)/2)*BR80+(1-EXP(-LN(2)/2))/(LN(2)/2)*BL81*BO81*VLOOKUP('Données projet'!$B$11,Paramètres!$A$1:$I$89,3,0)*0.475*44/12</f>
        <v>3.8174974578486185E-6</v>
      </c>
      <c r="BS81" s="24">
        <f t="shared" si="63"/>
        <v>9.0059322407287397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386.53372052574628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314.1401276393035</v>
      </c>
      <c r="T82" s="62">
        <f t="shared" si="88"/>
        <v>243.75878492878178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5.5519575740308467</v>
      </c>
      <c r="AA82" s="23">
        <f>EXP(-LN(2)/25)*AA81+(1-EXP(-LN(2)/25))/(LN(2)/25)*Calculateur!V82*Calculateur!X82*VLOOKUP('Données projet'!$B$9,Paramètres!$A$1:$I$89,3,0)*0.475*44/12</f>
        <v>2.0301560208264862</v>
      </c>
      <c r="AB82" s="23">
        <f>EXP(-LN(2)/2)*AB81+(1-EXP(-LN(2)/2))/(LN(2)/2)*V82*Y82*VLOOKUP('Données projet'!$B$9,Paramètres!$A$1:$I$89,3,0)*0.475*44/12</f>
        <v>2.5155858333404144E-5</v>
      </c>
      <c r="AC82" s="24">
        <f t="shared" si="57"/>
        <v>7.5821387507156661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272.85581758101404</v>
      </c>
      <c r="AO82" s="62">
        <f t="shared" si="90"/>
        <v>180.73985910201225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8.0648351926797111E-7</v>
      </c>
      <c r="AX82" s="23">
        <f t="shared" si="60"/>
        <v>8.0648351926797111E-7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282.598842734946</v>
      </c>
      <c r="BJ82" s="62">
        <f t="shared" si="92"/>
        <v>335.56869428808034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4.642618753746576</v>
      </c>
      <c r="BQ82" s="23">
        <f>EXP(-LN(2)/25)*BQ81+(1-EXP(-LN(2)/25))/(LN(2)/25)*Calculateur!BL82*Calculateur!BN82*VLOOKUP('Données projet'!$B$11,Paramètres!$A$1:$I$89,3,0)*0.475*44/12</f>
        <v>4.1536741475117998</v>
      </c>
      <c r="BR82" s="23">
        <f>EXP(-LN(2)/2)*BR81+(1-EXP(-LN(2)/2))/(LN(2)/2)*BL82*BO82*VLOOKUP('Données projet'!$B$11,Paramètres!$A$1:$I$89,3,0)*0.475*44/12</f>
        <v>2.6993783396071645E-6</v>
      </c>
      <c r="BS82" s="24">
        <f t="shared" si="63"/>
        <v>8.7962956006367161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388.13466278479279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314.1401276393035</v>
      </c>
      <c r="T83" s="62">
        <f t="shared" si="88"/>
        <v>243.75878492878178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5.4430870723638467</v>
      </c>
      <c r="AA83" s="23">
        <f>EXP(-LN(2)/25)*AA82+(1-EXP(-LN(2)/25))/(LN(2)/25)*Calculateur!V83*Calculateur!X83*VLOOKUP('Données projet'!$B$9,Paramètres!$A$1:$I$89,3,0)*0.475*44/12</f>
        <v>1.9746412976757208</v>
      </c>
      <c r="AB83" s="23">
        <f>EXP(-LN(2)/2)*AB82+(1-EXP(-LN(2)/2))/(LN(2)/2)*V83*Y83*VLOOKUP('Données projet'!$B$9,Paramètres!$A$1:$I$89,3,0)*0.475*44/12</f>
        <v>1.7787878014118192E-5</v>
      </c>
      <c r="AC83" s="24">
        <f t="shared" si="57"/>
        <v>7.4177461579175814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272.85581758101404</v>
      </c>
      <c r="AO83" s="62">
        <f t="shared" si="90"/>
        <v>180.73985910201225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5.7026996538957403E-7</v>
      </c>
      <c r="AX83" s="23">
        <f t="shared" si="60"/>
        <v>5.7026996538957403E-7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282.598842734946</v>
      </c>
      <c r="BJ83" s="62">
        <f t="shared" si="92"/>
        <v>335.56869428808034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4.5515798317034362</v>
      </c>
      <c r="BQ83" s="23">
        <f>EXP(-LN(2)/25)*BQ82+(1-EXP(-LN(2)/25))/(LN(2)/25)*Calculateur!BL83*Calculateur!BN83*VLOOKUP('Données projet'!$B$11,Paramètres!$A$1:$I$89,3,0)*0.475*44/12</f>
        <v>4.0400917095158597</v>
      </c>
      <c r="BR83" s="23">
        <f>EXP(-LN(2)/2)*BR82+(1-EXP(-LN(2)/2))/(LN(2)/2)*BL83*BO83*VLOOKUP('Données projet'!$B$11,Paramètres!$A$1:$I$89,3,0)*0.475*44/12</f>
        <v>1.9087487289243092E-6</v>
      </c>
      <c r="BS83" s="24">
        <f t="shared" si="63"/>
        <v>8.5916734499680238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389.73513402307276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314.1401276393035</v>
      </c>
      <c r="T84" s="62">
        <f t="shared" si="88"/>
        <v>243.75878492878178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5.3363514548300879</v>
      </c>
      <c r="AA84" s="23">
        <f>EXP(-LN(2)/25)*AA83+(1-EXP(-LN(2)/25))/(LN(2)/25)*Calculateur!V84*Calculateur!X84*VLOOKUP('Données projet'!$B$9,Paramètres!$A$1:$I$89,3,0)*0.475*44/12</f>
        <v>1.9206446275489055</v>
      </c>
      <c r="AB84" s="23">
        <f>EXP(-LN(2)/2)*AB83+(1-EXP(-LN(2)/2))/(LN(2)/2)*V84*Y84*VLOOKUP('Données projet'!$B$9,Paramètres!$A$1:$I$89,3,0)*0.475*44/12</f>
        <v>1.2577929166702072E-5</v>
      </c>
      <c r="AC84" s="24">
        <f t="shared" si="57"/>
        <v>7.2570086603081601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272.85581758101404</v>
      </c>
      <c r="AO84" s="62">
        <f t="shared" si="90"/>
        <v>180.73985910201225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4.0324175963398556E-7</v>
      </c>
      <c r="AX84" s="23">
        <f t="shared" si="60"/>
        <v>4.0324175963398556E-7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282.598842734946</v>
      </c>
      <c r="BJ84" s="62">
        <f t="shared" si="92"/>
        <v>335.56869428808034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4.462326127393303</v>
      </c>
      <c r="BQ84" s="23">
        <f>EXP(-LN(2)/25)*BQ83+(1-EXP(-LN(2)/25))/(LN(2)/25)*Calculateur!BL84*Calculateur!BN84*VLOOKUP('Données projet'!$B$11,Paramètres!$A$1:$I$89,3,0)*0.475*44/12</f>
        <v>3.9296151892599593</v>
      </c>
      <c r="BR84" s="23">
        <f>EXP(-LN(2)/2)*BR83+(1-EXP(-LN(2)/2))/(LN(2)/2)*BL84*BO84*VLOOKUP('Données projet'!$B$11,Paramètres!$A$1:$I$89,3,0)*0.475*44/12</f>
        <v>1.3496891698035822E-6</v>
      </c>
      <c r="BS84" s="24">
        <f t="shared" si="63"/>
        <v>8.3919426663424321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391.33514072820037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314.1401276393035</v>
      </c>
      <c r="T85" s="62">
        <f t="shared" si="88"/>
        <v>243.75878492878178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5.2317088576538673</v>
      </c>
      <c r="AA85" s="23">
        <f>EXP(-LN(2)/25)*AA84+(1-EXP(-LN(2)/25))/(LN(2)/25)*Calculateur!V85*Calculateur!X85*VLOOKUP('Données projet'!$B$9,Paramètres!$A$1:$I$89,3,0)*0.475*44/12</f>
        <v>1.8681244992062693</v>
      </c>
      <c r="AB85" s="23">
        <f>EXP(-LN(2)/2)*AB84+(1-EXP(-LN(2)/2))/(LN(2)/2)*V85*Y85*VLOOKUP('Données projet'!$B$9,Paramètres!$A$1:$I$89,3,0)*0.475*44/12</f>
        <v>8.893939007059096E-6</v>
      </c>
      <c r="AC85" s="24">
        <f t="shared" si="57"/>
        <v>7.0998422507991439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272.85581758101404</v>
      </c>
      <c r="AO85" s="62">
        <f t="shared" si="90"/>
        <v>180.73985910201225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2.8513498269478701E-7</v>
      </c>
      <c r="AX85" s="23">
        <f t="shared" si="60"/>
        <v>2.8513498269478701E-7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282.598842734946</v>
      </c>
      <c r="BJ85" s="62">
        <f t="shared" si="92"/>
        <v>335.56869428808034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4.3748226337853078</v>
      </c>
      <c r="BQ85" s="23">
        <f>EXP(-LN(2)/25)*BQ84+(1-EXP(-LN(2)/25))/(LN(2)/25)*Calculateur!BL85*Calculateur!BN85*VLOOKUP('Données projet'!$B$11,Paramètres!$A$1:$I$89,3,0)*0.475*44/12</f>
        <v>3.822159655260164</v>
      </c>
      <c r="BR85" s="23">
        <f>EXP(-LN(2)/2)*BR84+(1-EXP(-LN(2)/2))/(LN(2)/2)*BL85*BO85*VLOOKUP('Données projet'!$B$11,Paramètres!$A$1:$I$89,3,0)*0.475*44/12</f>
        <v>9.5437436446215461E-7</v>
      </c>
      <c r="BS85" s="24">
        <f t="shared" si="63"/>
        <v>8.1969832434198366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392.93468922045315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314.1401276393035</v>
      </c>
      <c r="T86" s="62">
        <f t="shared" si="88"/>
        <v>243.75878492878178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5.1291182379825901</v>
      </c>
      <c r="AA86" s="23">
        <f>EXP(-LN(2)/25)*AA85+(1-EXP(-LN(2)/25))/(LN(2)/25)*Calculateur!V86*Calculateur!X86*VLOOKUP('Données projet'!$B$9,Paramètres!$A$1:$I$89,3,0)*0.475*44/12</f>
        <v>1.8170405365350761</v>
      </c>
      <c r="AB86" s="23">
        <f>EXP(-LN(2)/2)*AB85+(1-EXP(-LN(2)/2))/(LN(2)/2)*V86*Y86*VLOOKUP('Données projet'!$B$9,Paramètres!$A$1:$I$89,3,0)*0.475*44/12</f>
        <v>6.2889645833510361E-6</v>
      </c>
      <c r="AC86" s="24">
        <f t="shared" si="57"/>
        <v>6.9461650634822503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272.85581758101404</v>
      </c>
      <c r="AO86" s="62">
        <f t="shared" si="90"/>
        <v>180.73985910201225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2.0162087981699278E-7</v>
      </c>
      <c r="AX86" s="23">
        <f t="shared" si="60"/>
        <v>2.0162087981699278E-7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282.598842734946</v>
      </c>
      <c r="BJ86" s="62">
        <f t="shared" si="92"/>
        <v>335.56869428808034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4.2890350303151044</v>
      </c>
      <c r="BQ86" s="23">
        <f>EXP(-LN(2)/25)*BQ85+(1-EXP(-LN(2)/25))/(LN(2)/25)*Calculateur!BL86*Calculateur!BN86*VLOOKUP('Données projet'!$B$11,Paramètres!$A$1:$I$89,3,0)*0.475*44/12</f>
        <v>3.7176424984884342</v>
      </c>
      <c r="BR86" s="23">
        <f>EXP(-LN(2)/2)*BR85+(1-EXP(-LN(2)/2))/(LN(2)/2)*BL86*BO86*VLOOKUP('Données projet'!$B$11,Paramètres!$A$1:$I$89,3,0)*0.475*44/12</f>
        <v>6.7484458490179112E-7</v>
      </c>
      <c r="BS86" s="24">
        <f t="shared" si="63"/>
        <v>8.006678203648125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394.53378565905018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314.1401276393035</v>
      </c>
      <c r="T87" s="62">
        <f t="shared" si="88"/>
        <v>243.75878492878178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5.0285393577889677</v>
      </c>
      <c r="AA87" s="23">
        <f>EXP(-LN(2)/25)*AA86+(1-EXP(-LN(2)/25))/(LN(2)/25)*Calculateur!V87*Calculateur!X87*VLOOKUP('Données projet'!$B$9,Paramètres!$A$1:$I$89,3,0)*0.475*44/12</f>
        <v>1.7673534675095155</v>
      </c>
      <c r="AB87" s="23">
        <f>EXP(-LN(2)/2)*AB86+(1-EXP(-LN(2)/2))/(LN(2)/2)*V87*Y87*VLOOKUP('Données projet'!$B$9,Paramètres!$A$1:$I$89,3,0)*0.475*44/12</f>
        <v>4.446969503529548E-6</v>
      </c>
      <c r="AC87" s="24">
        <f t="shared" si="57"/>
        <v>6.7958972722679869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272.85581758101404</v>
      </c>
      <c r="AO87" s="62">
        <f t="shared" si="90"/>
        <v>180.73985910201225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1.4256749134739351E-7</v>
      </c>
      <c r="AX87" s="23">
        <f t="shared" si="60"/>
        <v>1.4256749134739351E-7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282.598842734946</v>
      </c>
      <c r="BJ87" s="62">
        <f t="shared" si="92"/>
        <v>335.56869428808034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4.20492966942368</v>
      </c>
      <c r="BQ87" s="23">
        <f>EXP(-LN(2)/25)*BQ86+(1-EXP(-LN(2)/25))/(LN(2)/25)*Calculateur!BL87*Calculateur!BN87*VLOOKUP('Données projet'!$B$11,Paramètres!$A$1:$I$89,3,0)*0.475*44/12</f>
        <v>3.6159833688649456</v>
      </c>
      <c r="BR87" s="23">
        <f>EXP(-LN(2)/2)*BR86+(1-EXP(-LN(2)/2))/(LN(2)/2)*BL87*BO87*VLOOKUP('Données projet'!$B$11,Paramètres!$A$1:$I$89,3,0)*0.475*44/12</f>
        <v>4.7718718223107731E-7</v>
      </c>
      <c r="BS87" s="24">
        <f t="shared" si="63"/>
        <v>7.8209135154758078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396.13243604812419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314.1401276393035</v>
      </c>
      <c r="T88" s="62">
        <f t="shared" si="88"/>
        <v>243.75878492878178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4.9299327680888823</v>
      </c>
      <c r="AA88" s="23">
        <f>EXP(-LN(2)/25)*AA87+(1-EXP(-LN(2)/25))/(LN(2)/25)*Calculateur!V88*Calculateur!X88*VLOOKUP('Données projet'!$B$9,Paramètres!$A$1:$I$89,3,0)*0.475*44/12</f>
        <v>1.7190250939993883</v>
      </c>
      <c r="AB88" s="23">
        <f>EXP(-LN(2)/2)*AB87+(1-EXP(-LN(2)/2))/(LN(2)/2)*V88*Y88*VLOOKUP('Données projet'!$B$9,Paramètres!$A$1:$I$89,3,0)*0.475*44/12</f>
        <v>3.144482291675518E-6</v>
      </c>
      <c r="AC88" s="24">
        <f t="shared" si="57"/>
        <v>6.6489610065705618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272.85581758101404</v>
      </c>
      <c r="AO88" s="62">
        <f t="shared" si="90"/>
        <v>180.73985910201225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1.0081043990849639E-7</v>
      </c>
      <c r="AX88" s="23">
        <f t="shared" si="60"/>
        <v>1.0081043990849639E-7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282.598842734946</v>
      </c>
      <c r="BJ88" s="62">
        <f t="shared" si="92"/>
        <v>335.56869428808034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4.1224735633601313</v>
      </c>
      <c r="BQ88" s="23">
        <f>EXP(-LN(2)/25)*BQ87+(1-EXP(-LN(2)/25))/(LN(2)/25)*Calculateur!BL88*Calculateur!BN88*VLOOKUP('Données projet'!$B$11,Paramètres!$A$1:$I$89,3,0)*0.475*44/12</f>
        <v>3.5171041134870329</v>
      </c>
      <c r="BR88" s="23">
        <f>EXP(-LN(2)/2)*BR87+(1-EXP(-LN(2)/2))/(LN(2)/2)*BL88*BO88*VLOOKUP('Données projet'!$B$11,Paramètres!$A$1:$I$89,3,0)*0.475*44/12</f>
        <v>3.3742229245089556E-7</v>
      </c>
      <c r="BS88" s="24">
        <f t="shared" si="63"/>
        <v>7.6395780142694569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397.73064624240408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314.1401276393035</v>
      </c>
      <c r="T89" s="62">
        <f t="shared" si="88"/>
        <v>243.75878492878178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4.8332597934687351</v>
      </c>
      <c r="AA89" s="23">
        <f>EXP(-LN(2)/25)*AA88+(1-EXP(-LN(2)/25))/(LN(2)/25)*Calculateur!V89*Calculateur!X89*VLOOKUP('Données projet'!$B$9,Paramètres!$A$1:$I$89,3,0)*0.475*44/12</f>
        <v>1.6720182624043742</v>
      </c>
      <c r="AB89" s="23">
        <f>EXP(-LN(2)/2)*AB88+(1-EXP(-LN(2)/2))/(LN(2)/2)*V89*Y89*VLOOKUP('Données projet'!$B$9,Paramètres!$A$1:$I$89,3,0)*0.475*44/12</f>
        <v>2.223484751764774E-6</v>
      </c>
      <c r="AC89" s="24">
        <f t="shared" si="57"/>
        <v>6.5052802793578612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272.85581758101404</v>
      </c>
      <c r="AO89" s="62">
        <f t="shared" si="90"/>
        <v>180.73985910201225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7.1283745673696753E-8</v>
      </c>
      <c r="AX89" s="23">
        <f t="shared" si="60"/>
        <v>7.1283745673696753E-8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282.598842734946</v>
      </c>
      <c r="BJ89" s="62">
        <f t="shared" si="92"/>
        <v>335.56869428808034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4.0416343712432301</v>
      </c>
      <c r="BQ89" s="23">
        <f>EXP(-LN(2)/25)*BQ88+(1-EXP(-LN(2)/25))/(LN(2)/25)*Calculateur!BL89*Calculateur!BN89*VLOOKUP('Données projet'!$B$11,Paramètres!$A$1:$I$89,3,0)*0.475*44/12</f>
        <v>3.4209287165472633</v>
      </c>
      <c r="BR89" s="23">
        <f>EXP(-LN(2)/2)*BR88+(1-EXP(-LN(2)/2))/(LN(2)/2)*BL89*BO89*VLOOKUP('Données projet'!$B$11,Paramètres!$A$1:$I$89,3,0)*0.475*44/12</f>
        <v>2.3859359111553865E-7</v>
      </c>
      <c r="BS89" s="24">
        <f t="shared" si="63"/>
        <v>7.4625633263840845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399.32842195262583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314.1401276393035</v>
      </c>
      <c r="T90" s="62">
        <f t="shared" si="88"/>
        <v>243.75878492878178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4.7384825169161964</v>
      </c>
      <c r="AA90" s="23">
        <f>EXP(-LN(2)/25)*AA89+(1-EXP(-LN(2)/25))/(LN(2)/25)*Calculateur!V90*Calculateur!X90*VLOOKUP('Données projet'!$B$9,Paramètres!$A$1:$I$89,3,0)*0.475*44/12</f>
        <v>1.6262968350913076</v>
      </c>
      <c r="AB90" s="23">
        <f>EXP(-LN(2)/2)*AB89+(1-EXP(-LN(2)/2))/(LN(2)/2)*V90*Y90*VLOOKUP('Données projet'!$B$9,Paramètres!$A$1:$I$89,3,0)*0.475*44/12</f>
        <v>1.572241145837759E-6</v>
      </c>
      <c r="AC90" s="24">
        <f t="shared" si="57"/>
        <v>6.3647809242486506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272.85581758101404</v>
      </c>
      <c r="AO90" s="62">
        <f t="shared" si="90"/>
        <v>180.73985910201225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5.0405219954248195E-8</v>
      </c>
      <c r="AX90" s="23">
        <f t="shared" si="60"/>
        <v>5.0405219954248195E-8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282.598842734946</v>
      </c>
      <c r="BJ90" s="62">
        <f t="shared" si="92"/>
        <v>335.56869428808034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3.9623803863767031</v>
      </c>
      <c r="BQ90" s="23">
        <f>EXP(-LN(2)/25)*BQ89+(1-EXP(-LN(2)/25))/(LN(2)/25)*Calculateur!BL90*Calculateur!BN90*VLOOKUP('Données projet'!$B$11,Paramètres!$A$1:$I$89,3,0)*0.475*44/12</f>
        <v>3.3273832408944557</v>
      </c>
      <c r="BR90" s="23">
        <f>EXP(-LN(2)/2)*BR89+(1-EXP(-LN(2)/2))/(LN(2)/2)*BL90*BO90*VLOOKUP('Données projet'!$B$11,Paramètres!$A$1:$I$89,3,0)*0.475*44/12</f>
        <v>1.6871114622544778E-7</v>
      </c>
      <c r="BS90" s="24">
        <f t="shared" si="63"/>
        <v>7.2897637959823047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400.9257687506875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314.1401276393035</v>
      </c>
      <c r="T91" s="62">
        <f t="shared" si="88"/>
        <v>243.75878492878178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4.6455637649484229</v>
      </c>
      <c r="AA91" s="23">
        <f>EXP(-LN(2)/25)*AA90+(1-EXP(-LN(2)/25))/(LN(2)/25)*Calculateur!V91*Calculateur!X91*VLOOKUP('Données projet'!$B$9,Paramètres!$A$1:$I$89,3,0)*0.475*44/12</f>
        <v>1.5818256626125022</v>
      </c>
      <c r="AB91" s="23">
        <f>EXP(-LN(2)/2)*AB90+(1-EXP(-LN(2)/2))/(LN(2)/2)*V91*Y91*VLOOKUP('Données projet'!$B$9,Paramètres!$A$1:$I$89,3,0)*0.475*44/12</f>
        <v>1.111742375882387E-6</v>
      </c>
      <c r="AC91" s="24">
        <f t="shared" si="57"/>
        <v>6.2273905393033004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272.85581758101404</v>
      </c>
      <c r="AO91" s="62">
        <f t="shared" si="90"/>
        <v>180.73985910201225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3.5641872836848377E-8</v>
      </c>
      <c r="AX91" s="23">
        <f t="shared" si="60"/>
        <v>3.5641872836848377E-8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282.598842734946</v>
      </c>
      <c r="BJ91" s="62">
        <f t="shared" si="92"/>
        <v>335.56869428808034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3.8846805238132514</v>
      </c>
      <c r="BQ91" s="23">
        <f>EXP(-LN(2)/25)*BQ90+(1-EXP(-LN(2)/25))/(LN(2)/25)*Calculateur!BL91*Calculateur!BN91*VLOOKUP('Données projet'!$B$11,Paramètres!$A$1:$I$89,3,0)*0.475*44/12</f>
        <v>3.2363957711927172</v>
      </c>
      <c r="BR91" s="23">
        <f>EXP(-LN(2)/2)*BR90+(1-EXP(-LN(2)/2))/(LN(2)/2)*BL91*BO91*VLOOKUP('Données projet'!$B$11,Paramètres!$A$1:$I$89,3,0)*0.475*44/12</f>
        <v>1.1929679555776933E-7</v>
      </c>
      <c r="BS91" s="24">
        <f t="shared" si="63"/>
        <v>7.1210764143027641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402.52269207456277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314.1401276393035</v>
      </c>
      <c r="T92" s="62">
        <f t="shared" si="88"/>
        <v>243.75878492878178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4.5544670930318949</v>
      </c>
      <c r="AA92" s="23">
        <f>EXP(-LN(2)/25)*AA91+(1-EXP(-LN(2)/25))/(LN(2)/25)*Calculateur!V92*Calculateur!X92*VLOOKUP('Données projet'!$B$9,Paramètres!$A$1:$I$89,3,0)*0.475*44/12</f>
        <v>1.5385705566837671</v>
      </c>
      <c r="AB92" s="23">
        <f>EXP(-LN(2)/2)*AB91+(1-EXP(-LN(2)/2))/(LN(2)/2)*V92*Y92*VLOOKUP('Données projet'!$B$9,Paramètres!$A$1:$I$89,3,0)*0.475*44/12</f>
        <v>7.8612057291887951E-7</v>
      </c>
      <c r="AC92" s="24">
        <f t="shared" si="57"/>
        <v>6.0930384358362346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272.85581758101404</v>
      </c>
      <c r="AO92" s="62">
        <f t="shared" si="90"/>
        <v>180.73985910201225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2.5202609977124097E-8</v>
      </c>
      <c r="AX92" s="23">
        <f t="shared" si="60"/>
        <v>2.5202609977124097E-8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282.598842734946</v>
      </c>
      <c r="BJ92" s="62">
        <f t="shared" si="92"/>
        <v>335.56869428808034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3.8085043081624321</v>
      </c>
      <c r="BQ92" s="23">
        <f>EXP(-LN(2)/25)*BQ91+(1-EXP(-LN(2)/25))/(LN(2)/25)*Calculateur!BL92*Calculateur!BN92*VLOOKUP('Données projet'!$B$11,Paramètres!$A$1:$I$89,3,0)*0.475*44/12</f>
        <v>3.1478963586347954</v>
      </c>
      <c r="BR92" s="23">
        <f>EXP(-LN(2)/2)*BR91+(1-EXP(-LN(2)/2))/(LN(2)/2)*BL92*BO92*VLOOKUP('Données projet'!$B$11,Paramètres!$A$1:$I$89,3,0)*0.475*44/12</f>
        <v>8.435557311272389E-8</v>
      </c>
      <c r="BS92" s="24">
        <f t="shared" si="63"/>
        <v>6.9564007511528008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404.11919723298803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314.1401276393035</v>
      </c>
      <c r="T93" s="62">
        <f t="shared" si="88"/>
        <v>243.75878492878178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4.4651567712881661</v>
      </c>
      <c r="AA93" s="23">
        <f>EXP(-LN(2)/25)*AA92+(1-EXP(-LN(2)/25))/(LN(2)/25)*Calculateur!V93*Calculateur!X93*VLOOKUP('Données projet'!$B$9,Paramètres!$A$1:$I$89,3,0)*0.475*44/12</f>
        <v>1.4964982639013404</v>
      </c>
      <c r="AB93" s="23">
        <f>EXP(-LN(2)/2)*AB92+(1-EXP(-LN(2)/2))/(LN(2)/2)*V93*Y93*VLOOKUP('Données projet'!$B$9,Paramètres!$A$1:$I$89,3,0)*0.475*44/12</f>
        <v>5.558711879411935E-7</v>
      </c>
      <c r="AC93" s="24">
        <f t="shared" si="57"/>
        <v>5.961655591060695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272.85581758101404</v>
      </c>
      <c r="AO93" s="62">
        <f t="shared" si="90"/>
        <v>180.73985910201225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1.7820936418424188E-8</v>
      </c>
      <c r="AX93" s="23">
        <f t="shared" si="60"/>
        <v>1.7820936418424188E-8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282.598842734946</v>
      </c>
      <c r="BJ93" s="62">
        <f t="shared" si="92"/>
        <v>335.56869428808034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3.7338218616376215</v>
      </c>
      <c r="BQ93" s="23">
        <f>EXP(-LN(2)/25)*BQ92+(1-EXP(-LN(2)/25))/(LN(2)/25)*Calculateur!BL93*Calculateur!BN93*VLOOKUP('Données projet'!$B$11,Paramètres!$A$1:$I$89,3,0)*0.475*44/12</f>
        <v>3.0618169671672519</v>
      </c>
      <c r="BR93" s="23">
        <f>EXP(-LN(2)/2)*BR92+(1-EXP(-LN(2)/2))/(LN(2)/2)*BL93*BO93*VLOOKUP('Données projet'!$B$11,Paramètres!$A$1:$I$89,3,0)*0.475*44/12</f>
        <v>5.9648397778884663E-8</v>
      </c>
      <c r="BS93" s="24">
        <f t="shared" si="63"/>
        <v>6.7956388884532721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405.715289409935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314.1401276393035</v>
      </c>
      <c r="T94" s="62">
        <f t="shared" si="88"/>
        <v>243.75878492878178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4.3775977704799143</v>
      </c>
      <c r="AA94" s="23">
        <f>EXP(-LN(2)/25)*AA93+(1-EXP(-LN(2)/25))/(LN(2)/25)*Calculateur!V94*Calculateur!X94*VLOOKUP('Données projet'!$B$9,Paramètres!$A$1:$I$89,3,0)*0.475*44/12</f>
        <v>1.4555764401775348</v>
      </c>
      <c r="AB94" s="23">
        <f>EXP(-LN(2)/2)*AB93+(1-EXP(-LN(2)/2))/(LN(2)/2)*V94*Y94*VLOOKUP('Données projet'!$B$9,Paramètres!$A$1:$I$89,3,0)*0.475*44/12</f>
        <v>3.9306028645943976E-7</v>
      </c>
      <c r="AC94" s="24">
        <f t="shared" si="57"/>
        <v>5.8331746037177359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272.85581758101404</v>
      </c>
      <c r="AO94" s="62">
        <f t="shared" si="90"/>
        <v>180.73985910201225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1.2601304988562049E-8</v>
      </c>
      <c r="AX94" s="23">
        <f t="shared" si="60"/>
        <v>1.2601304988562049E-8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282.598842734946</v>
      </c>
      <c r="BJ94" s="62">
        <f t="shared" si="92"/>
        <v>335.56869428808034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3.660603892337368</v>
      </c>
      <c r="BQ94" s="23">
        <f>EXP(-LN(2)/25)*BQ93+(1-EXP(-LN(2)/25))/(LN(2)/25)*Calculateur!BL94*Calculateur!BN94*VLOOKUP('Données projet'!$B$11,Paramètres!$A$1:$I$89,3,0)*0.475*44/12</f>
        <v>2.9780914211861069</v>
      </c>
      <c r="BR94" s="23">
        <f>EXP(-LN(2)/2)*BR93+(1-EXP(-LN(2)/2))/(LN(2)/2)*BL94*BO94*VLOOKUP('Données projet'!$B$11,Paramètres!$A$1:$I$89,3,0)*0.475*44/12</f>
        <v>4.2177786556361945E-8</v>
      </c>
      <c r="BS94" s="24">
        <f t="shared" si="63"/>
        <v>6.6386953557012616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407.31097366888059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314.1401276393035</v>
      </c>
      <c r="T95" s="62">
        <f t="shared" si="88"/>
        <v>243.75878492878178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4.2917557482717958</v>
      </c>
      <c r="AA95" s="23">
        <f>EXP(-LN(2)/25)*AA94+(1-EXP(-LN(2)/25))/(LN(2)/25)*Calculateur!V95*Calculateur!X95*VLOOKUP('Données projet'!$B$9,Paramètres!$A$1:$I$89,3,0)*0.475*44/12</f>
        <v>1.4157736258754419</v>
      </c>
      <c r="AB95" s="23">
        <f>EXP(-LN(2)/2)*AB94+(1-EXP(-LN(2)/2))/(LN(2)/2)*V95*Y95*VLOOKUP('Données projet'!$B$9,Paramètres!$A$1:$I$89,3,0)*0.475*44/12</f>
        <v>2.7793559397059675E-7</v>
      </c>
      <c r="AC95" s="24">
        <f t="shared" si="57"/>
        <v>5.7075296520828314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272.85581758101404</v>
      </c>
      <c r="AO95" s="62">
        <f t="shared" si="90"/>
        <v>180.73985910201225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8.9104682092120942E-9</v>
      </c>
      <c r="AX95" s="23">
        <f t="shared" si="60"/>
        <v>8.9104682092120942E-9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282.598842734946</v>
      </c>
      <c r="BJ95" s="62">
        <f t="shared" si="92"/>
        <v>335.56869428808034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3.5888216827565409</v>
      </c>
      <c r="BQ95" s="23">
        <f>EXP(-LN(2)/25)*BQ94+(1-EXP(-LN(2)/25))/(LN(2)/25)*Calculateur!BL95*Calculateur!BN95*VLOOKUP('Données projet'!$B$11,Paramètres!$A$1:$I$89,3,0)*0.475*44/12</f>
        <v>2.8966553546627516</v>
      </c>
      <c r="BR95" s="23">
        <f>EXP(-LN(2)/2)*BR94+(1-EXP(-LN(2)/2))/(LN(2)/2)*BL95*BO95*VLOOKUP('Données projet'!$B$11,Paramètres!$A$1:$I$89,3,0)*0.475*44/12</f>
        <v>2.9824198889442332E-8</v>
      </c>
      <c r="BS95" s="24">
        <f t="shared" si="63"/>
        <v>6.4854770672434912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408.90625495688698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314.1401276393035</v>
      </c>
      <c r="T96" s="62">
        <f t="shared" si="88"/>
        <v>243.75878492878178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4.2075970357607151</v>
      </c>
      <c r="AA96" s="23">
        <f>EXP(-LN(2)/25)*AA95+(1-EXP(-LN(2)/25))/(LN(2)/25)*Calculateur!V96*Calculateur!X96*VLOOKUP('Données projet'!$B$9,Paramètres!$A$1:$I$89,3,0)*0.475*44/12</f>
        <v>1.3770592216235786</v>
      </c>
      <c r="AB96" s="23">
        <f>EXP(-LN(2)/2)*AB95+(1-EXP(-LN(2)/2))/(LN(2)/2)*V96*Y96*VLOOKUP('Données projet'!$B$9,Paramètres!$A$1:$I$89,3,0)*0.475*44/12</f>
        <v>1.9653014322971988E-7</v>
      </c>
      <c r="AC96" s="24">
        <f t="shared" si="57"/>
        <v>5.5846564539144374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272.85581758101404</v>
      </c>
      <c r="AO96" s="62">
        <f t="shared" si="90"/>
        <v>180.73985910201225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6.3006524942810243E-9</v>
      </c>
      <c r="AX96" s="23">
        <f t="shared" si="60"/>
        <v>6.3006524942810243E-9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282.598842734946</v>
      </c>
      <c r="BJ96" s="62">
        <f t="shared" si="92"/>
        <v>335.56869428808034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3.5184470785227693</v>
      </c>
      <c r="BQ96" s="23">
        <f>EXP(-LN(2)/25)*BQ95+(1-EXP(-LN(2)/25))/(LN(2)/25)*Calculateur!BL96*Calculateur!BN96*VLOOKUP('Données projet'!$B$11,Paramètres!$A$1:$I$89,3,0)*0.475*44/12</f>
        <v>2.8174461616610138</v>
      </c>
      <c r="BR96" s="23">
        <f>EXP(-LN(2)/2)*BR95+(1-EXP(-LN(2)/2))/(LN(2)/2)*BL96*BO96*VLOOKUP('Données projet'!$B$11,Paramètres!$A$1:$I$89,3,0)*0.475*44/12</f>
        <v>2.1088893278180972E-8</v>
      </c>
      <c r="BS96" s="24">
        <f t="shared" si="63"/>
        <v>6.3358932612726759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410.50113810849973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314.1401276393035</v>
      </c>
      <c r="T97" s="62">
        <f t="shared" si="88"/>
        <v>243.75878492878178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4.12508862427023</v>
      </c>
      <c r="AA97" s="23">
        <f>EXP(-LN(2)/25)*AA96+(1-EXP(-LN(2)/25))/(LN(2)/25)*Calculateur!V97*Calculateur!X97*VLOOKUP('Données projet'!$B$9,Paramètres!$A$1:$I$89,3,0)*0.475*44/12</f>
        <v>1.3394034647918847</v>
      </c>
      <c r="AB97" s="23">
        <f>EXP(-LN(2)/2)*AB96+(1-EXP(-LN(2)/2))/(LN(2)/2)*V97*Y97*VLOOKUP('Données projet'!$B$9,Paramètres!$A$1:$I$89,3,0)*0.475*44/12</f>
        <v>1.3896779698529838E-7</v>
      </c>
      <c r="AC97" s="24">
        <f t="shared" si="57"/>
        <v>5.4644922280299122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272.85581758101404</v>
      </c>
      <c r="AO97" s="62">
        <f t="shared" si="90"/>
        <v>180.73985910201225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4.4552341046060471E-9</v>
      </c>
      <c r="AX97" s="23">
        <f t="shared" si="60"/>
        <v>4.4552341046060471E-9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282.598842734946</v>
      </c>
      <c r="BJ97" s="62">
        <f t="shared" si="92"/>
        <v>335.56869428808034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3.4494524773537516</v>
      </c>
      <c r="BQ97" s="23">
        <f>EXP(-LN(2)/25)*BQ96+(1-EXP(-LN(2)/25))/(LN(2)/25)*Calculateur!BL97*Calculateur!BN97*VLOOKUP('Données projet'!$B$11,Paramètres!$A$1:$I$89,3,0)*0.475*44/12</f>
        <v>2.7404029482073393</v>
      </c>
      <c r="BR97" s="23">
        <f>EXP(-LN(2)/2)*BR96+(1-EXP(-LN(2)/2))/(LN(2)/2)*BL97*BO97*VLOOKUP('Données projet'!$B$11,Paramètres!$A$1:$I$89,3,0)*0.475*44/12</f>
        <v>1.4912099444721166E-8</v>
      </c>
      <c r="BS97" s="24">
        <f t="shared" si="63"/>
        <v>6.18985544047319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412.09562784947656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314.1401276393035</v>
      </c>
      <c r="T98" s="62">
        <f t="shared" si="88"/>
        <v>243.75878492878178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4.0441981524039115</v>
      </c>
      <c r="AA98" s="23">
        <f>EXP(-LN(2)/25)*AA97+(1-EXP(-LN(2)/25))/(LN(2)/25)*Calculateur!V98*Calculateur!X98*VLOOKUP('Données projet'!$B$9,Paramètres!$A$1:$I$89,3,0)*0.475*44/12</f>
        <v>1.3027774066109836</v>
      </c>
      <c r="AB98" s="23">
        <f>EXP(-LN(2)/2)*AB97+(1-EXP(-LN(2)/2))/(LN(2)/2)*V98*Y98*VLOOKUP('Données projet'!$B$9,Paramètres!$A$1:$I$89,3,0)*0.475*44/12</f>
        <v>9.8265071614859939E-8</v>
      </c>
      <c r="AC98" s="24">
        <f t="shared" si="57"/>
        <v>5.3469756572799669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272.85581758101404</v>
      </c>
      <c r="AO98" s="62">
        <f t="shared" si="90"/>
        <v>180.73985910201225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3.1503262471405122E-9</v>
      </c>
      <c r="AX98" s="23">
        <f t="shared" si="60"/>
        <v>3.1503262471405122E-9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282.598842734946</v>
      </c>
      <c r="BJ98" s="62">
        <f t="shared" si="92"/>
        <v>335.56869428808034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3.3818108182311071</v>
      </c>
      <c r="BQ98" s="23">
        <f>EXP(-LN(2)/25)*BQ97+(1-EXP(-LN(2)/25))/(LN(2)/25)*Calculateur!BL98*Calculateur!BN98*VLOOKUP('Données projet'!$B$11,Paramètres!$A$1:$I$89,3,0)*0.475*44/12</f>
        <v>2.665466485477082</v>
      </c>
      <c r="BR98" s="23">
        <f>EXP(-LN(2)/2)*BR97+(1-EXP(-LN(2)/2))/(LN(2)/2)*BL98*BO98*VLOOKUP('Données projet'!$B$11,Paramètres!$A$1:$I$89,3,0)*0.475*44/12</f>
        <v>1.0544446639090486E-8</v>
      </c>
      <c r="BS98" s="24">
        <f t="shared" si="63"/>
        <v>6.0472773142526348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413.68972880035386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314.1401276393035</v>
      </c>
      <c r="T99" s="62">
        <f t="shared" si="88"/>
        <v>243.75878492878178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3.9648938933525755</v>
      </c>
      <c r="AA99" s="23">
        <f>EXP(-LN(2)/25)*AA98+(1-EXP(-LN(2)/25))/(LN(2)/25)*Calculateur!V99*Calculateur!X99*VLOOKUP('Données projet'!$B$9,Paramètres!$A$1:$I$89,3,0)*0.475*44/12</f>
        <v>1.2671528899171201</v>
      </c>
      <c r="AB99" s="23">
        <f>EXP(-LN(2)/2)*AB98+(1-EXP(-LN(2)/2))/(LN(2)/2)*V99*Y99*VLOOKUP('Données projet'!$B$9,Paramètres!$A$1:$I$89,3,0)*0.475*44/12</f>
        <v>6.9483898492649188E-8</v>
      </c>
      <c r="AC99" s="24">
        <f t="shared" si="57"/>
        <v>5.2320468527535944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272.85581758101404</v>
      </c>
      <c r="AO99" s="62">
        <f t="shared" si="90"/>
        <v>180.73985910201225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2.2276170523030235E-9</v>
      </c>
      <c r="AX99" s="23">
        <f t="shared" si="60"/>
        <v>2.2276170523030235E-9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282.598842734946</v>
      </c>
      <c r="BJ99" s="62">
        <f t="shared" si="92"/>
        <v>335.56869428808034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3.3154955707865192</v>
      </c>
      <c r="BQ99" s="23">
        <f>EXP(-LN(2)/25)*BQ98+(1-EXP(-LN(2)/25))/(LN(2)/25)*Calculateur!BL99*Calculateur!BN99*VLOOKUP('Données projet'!$B$11,Paramètres!$A$1:$I$89,3,0)*0.475*44/12</f>
        <v>2.5925791642609206</v>
      </c>
      <c r="BR99" s="23">
        <f>EXP(-LN(2)/2)*BR98+(1-EXP(-LN(2)/2))/(LN(2)/2)*BL99*BO99*VLOOKUP('Données projet'!$B$11,Paramètres!$A$1:$I$89,3,0)*0.475*44/12</f>
        <v>7.4560497223605829E-9</v>
      </c>
      <c r="BS99" s="24">
        <f t="shared" si="63"/>
        <v>5.9080747425034899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415.28344547986092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314.1401276393035</v>
      </c>
      <c r="T100" s="62">
        <f t="shared" si="88"/>
        <v>243.75878492878178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3.8871447424504146</v>
      </c>
      <c r="AA100" s="23">
        <f>EXP(-LN(2)/25)*AA99+(1-EXP(-LN(2)/25))/(LN(2)/25)*Calculateur!V100*Calculateur!X100*VLOOKUP('Données projet'!$B$9,Paramètres!$A$1:$I$89,3,0)*0.475*44/12</f>
        <v>1.232502527505662</v>
      </c>
      <c r="AB100" s="23">
        <f>EXP(-LN(2)/2)*AB99+(1-EXP(-LN(2)/2))/(LN(2)/2)*V100*Y100*VLOOKUP('Données projet'!$B$9,Paramètres!$A$1:$I$89,3,0)*0.475*44/12</f>
        <v>4.9132535807429969E-8</v>
      </c>
      <c r="AC100" s="24">
        <f t="shared" si="57"/>
        <v>5.119647319088612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272.85581758101404</v>
      </c>
      <c r="AO100" s="62">
        <f t="shared" si="90"/>
        <v>180.73985910201225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1.5751631235702561E-9</v>
      </c>
      <c r="AX100" s="23">
        <f t="shared" si="60"/>
        <v>1.5751631235702561E-9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282.598842734946</v>
      </c>
      <c r="BJ100" s="62">
        <f t="shared" si="92"/>
        <v>335.56869428808034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3.250480724896013</v>
      </c>
      <c r="BQ100" s="23">
        <f>EXP(-LN(2)/25)*BQ99+(1-EXP(-LN(2)/25))/(LN(2)/25)*Calculateur!BL100*Calculateur!BN100*VLOOKUP('Données projet'!$B$11,Paramètres!$A$1:$I$89,3,0)*0.475*44/12</f>
        <v>2.5216849506763928</v>
      </c>
      <c r="BR100" s="23">
        <f>EXP(-LN(2)/2)*BR99+(1-EXP(-LN(2)/2))/(LN(2)/2)*BL100*BO100*VLOOKUP('Données projet'!$B$11,Paramètres!$A$1:$I$89,3,0)*0.475*44/12</f>
        <v>5.2722233195452431E-9</v>
      </c>
      <c r="BS100" s="24">
        <f t="shared" si="63"/>
        <v>5.7721656808446298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416.87678230818852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314.1401276393035</v>
      </c>
      <c r="T101" s="62">
        <f t="shared" si="88"/>
        <v>243.75878492878178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3.8109202049751456</v>
      </c>
      <c r="AA101" s="23">
        <f>EXP(-LN(2)/25)*AA100+(1-EXP(-LN(2)/25))/(LN(2)/25)*Calculateur!V101*Calculateur!X101*VLOOKUP('Données projet'!$B$9,Paramètres!$A$1:$I$89,3,0)*0.475*44/12</f>
        <v>1.1987996810765287</v>
      </c>
      <c r="AB101" s="23">
        <f>EXP(-LN(2)/2)*AB100+(1-EXP(-LN(2)/2))/(LN(2)/2)*V101*Y101*VLOOKUP('Données projet'!$B$9,Paramètres!$A$1:$I$89,3,0)*0.475*44/12</f>
        <v>3.4741949246324594E-8</v>
      </c>
      <c r="AC101" s="24">
        <f t="shared" si="57"/>
        <v>5.0097199207936232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272.85581758101404</v>
      </c>
      <c r="AO101" s="62">
        <f t="shared" si="90"/>
        <v>180.73985910201225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1.1138085261515118E-9</v>
      </c>
      <c r="AX101" s="23">
        <f t="shared" si="60"/>
        <v>1.1138085261515118E-9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282.598842734946</v>
      </c>
      <c r="BJ101" s="62">
        <f t="shared" si="92"/>
        <v>335.56869428808034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3.1867407804782792</v>
      </c>
      <c r="BQ101" s="23">
        <f>EXP(-LN(2)/25)*BQ100+(1-EXP(-LN(2)/25))/(LN(2)/25)*Calculateur!BL101*Calculateur!BN101*VLOOKUP('Données projet'!$B$11,Paramètres!$A$1:$I$89,3,0)*0.475*44/12</f>
        <v>2.4527293430904988</v>
      </c>
      <c r="BR101" s="23">
        <f>EXP(-LN(2)/2)*BR100+(1-EXP(-LN(2)/2))/(LN(2)/2)*BL101*BO101*VLOOKUP('Données projet'!$B$11,Paramètres!$A$1:$I$89,3,0)*0.475*44/12</f>
        <v>3.7280248611802915E-9</v>
      </c>
      <c r="BS101" s="24">
        <f t="shared" si="63"/>
        <v>5.6394701272968026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418.46974361012133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314.1401276393035</v>
      </c>
      <c r="T102" s="62">
        <f t="shared" si="88"/>
        <v>243.75878492878178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3.7361903841873896</v>
      </c>
      <c r="AA102" s="23">
        <f>EXP(-LN(2)/25)*AA101+(1-EXP(-LN(2)/25))/(LN(2)/25)*Calculateur!V102*Calculateur!X102*VLOOKUP('Données projet'!$B$9,Paramètres!$A$1:$I$89,3,0)*0.475*44/12</f>
        <v>1.1660184407553558</v>
      </c>
      <c r="AB102" s="23">
        <f>EXP(-LN(2)/2)*AB101+(1-EXP(-LN(2)/2))/(LN(2)/2)*V102*Y102*VLOOKUP('Données projet'!$B$9,Paramètres!$A$1:$I$89,3,0)*0.475*44/12</f>
        <v>2.4566267903714985E-8</v>
      </c>
      <c r="AC102" s="24">
        <f t="shared" si="57"/>
        <v>4.9022088495090133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272.85581758101404</v>
      </c>
      <c r="AO102" s="62">
        <f t="shared" si="90"/>
        <v>180.73985910201225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7.8758156178512804E-10</v>
      </c>
      <c r="AX102" s="23">
        <f t="shared" si="60"/>
        <v>7.8758156178512804E-10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282.598842734946</v>
      </c>
      <c r="BJ102" s="62">
        <f t="shared" si="92"/>
        <v>335.56869428808034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3.1242507374930497</v>
      </c>
      <c r="BQ102" s="23">
        <f>EXP(-LN(2)/25)*BQ101+(1-EXP(-LN(2)/25))/(LN(2)/25)*Calculateur!BL102*Calculateur!BN102*VLOOKUP('Données projet'!$B$11,Paramètres!$A$1:$I$89,3,0)*0.475*44/12</f>
        <v>2.3856593302202587</v>
      </c>
      <c r="BR102" s="23">
        <f>EXP(-LN(2)/2)*BR101+(1-EXP(-LN(2)/2))/(LN(2)/2)*BL102*BO102*VLOOKUP('Données projet'!$B$11,Paramètres!$A$1:$I$89,3,0)*0.475*44/12</f>
        <v>2.6361116597726216E-9</v>
      </c>
      <c r="BS102" s="24">
        <f t="shared" si="63"/>
        <v>5.5099100703494202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420.06233361803925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314.1401276393035</v>
      </c>
      <c r="T103" s="62">
        <f t="shared" si="88"/>
        <v>243.75878492878178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3.6629259696045913</v>
      </c>
      <c r="AA103" s="23">
        <f>EXP(-LN(2)/25)*AA102+(1-EXP(-LN(2)/25))/(LN(2)/25)*Calculateur!V103*Calculateur!X103*VLOOKUP('Données projet'!$B$9,Paramètres!$A$1:$I$89,3,0)*0.475*44/12</f>
        <v>1.1341336051746558</v>
      </c>
      <c r="AB103" s="23">
        <f>EXP(-LN(2)/2)*AB102+(1-EXP(-LN(2)/2))/(LN(2)/2)*V103*Y103*VLOOKUP('Données projet'!$B$9,Paramètres!$A$1:$I$89,3,0)*0.475*44/12</f>
        <v>1.7370974623162297E-8</v>
      </c>
      <c r="AC103" s="24">
        <f t="shared" si="57"/>
        <v>4.7970595921502222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272.85581758101404</v>
      </c>
      <c r="AO103" s="62">
        <f t="shared" si="90"/>
        <v>180.73985910201225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5.5690426307575589E-10</v>
      </c>
      <c r="AX103" s="23">
        <f t="shared" si="60"/>
        <v>5.5690426307575589E-10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282.598842734946</v>
      </c>
      <c r="BJ103" s="62">
        <f t="shared" si="92"/>
        <v>335.56869428808034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3.0629860861355982</v>
      </c>
      <c r="BQ103" s="23">
        <f>EXP(-LN(2)/25)*BQ102+(1-EXP(-LN(2)/25))/(LN(2)/25)*Calculateur!BL103*Calculateur!BN103*VLOOKUP('Données projet'!$B$11,Paramètres!$A$1:$I$89,3,0)*0.475*44/12</f>
        <v>2.3204233503790141</v>
      </c>
      <c r="BR103" s="23">
        <f>EXP(-LN(2)/2)*BR102+(1-EXP(-LN(2)/2))/(LN(2)/2)*BL103*BO103*VLOOKUP('Données projet'!$B$11,Paramètres!$A$1:$I$89,3,0)*0.475*44/12</f>
        <v>1.8640124305901457E-9</v>
      </c>
      <c r="BS103" s="24">
        <f t="shared" si="63"/>
        <v>5.3834094383786244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421.65455647479598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314.1401276393035</v>
      </c>
      <c r="T104" s="62">
        <f t="shared" si="88"/>
        <v>243.75878492878178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3.5910982255048811</v>
      </c>
      <c r="AA104" s="23">
        <f>EXP(-LN(2)/25)*AA103+(1-EXP(-LN(2)/25))/(LN(2)/25)*Calculateur!V104*Calculateur!X104*VLOOKUP('Données projet'!$B$9,Paramètres!$A$1:$I$89,3,0)*0.475*44/12</f>
        <v>1.1031206620996605</v>
      </c>
      <c r="AB104" s="23">
        <f>EXP(-LN(2)/2)*AB103+(1-EXP(-LN(2)/2))/(LN(2)/2)*V104*Y104*VLOOKUP('Données projet'!$B$9,Paramètres!$A$1:$I$89,3,0)*0.475*44/12</f>
        <v>1.2283133951857492E-8</v>
      </c>
      <c r="AC104" s="24">
        <f t="shared" si="57"/>
        <v>4.6942188998876757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272.85581758101404</v>
      </c>
      <c r="AO104" s="62">
        <f t="shared" si="90"/>
        <v>180.73985910201225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3.9379078089256402E-10</v>
      </c>
      <c r="AX104" s="23">
        <f t="shared" si="60"/>
        <v>3.9379078089256402E-10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282.598842734946</v>
      </c>
      <c r="BJ104" s="62">
        <f t="shared" si="92"/>
        <v>335.56869428808034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3.0029227972235186</v>
      </c>
      <c r="BQ104" s="23">
        <f>EXP(-LN(2)/25)*BQ103+(1-EXP(-LN(2)/25))/(LN(2)/25)*Calculateur!BL104*Calculateur!BN104*VLOOKUP('Données projet'!$B$11,Paramètres!$A$1:$I$89,3,0)*0.475*44/12</f>
        <v>2.2569712518371392</v>
      </c>
      <c r="BR104" s="23">
        <f>EXP(-LN(2)/2)*BR103+(1-EXP(-LN(2)/2))/(LN(2)/2)*BL104*BO104*VLOOKUP('Données projet'!$B$11,Paramètres!$A$1:$I$89,3,0)*0.475*44/12</f>
        <v>1.3180558298863108E-9</v>
      </c>
      <c r="BS104" s="24">
        <f t="shared" si="63"/>
        <v>5.2598940503787137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423.24641623647949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314.1401276393035</v>
      </c>
      <c r="T105" s="62">
        <f t="shared" si="88"/>
        <v>243.75878492878178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3.5206789796563687</v>
      </c>
      <c r="AA105" s="23">
        <f>EXP(-LN(2)/25)*AA104+(1-EXP(-LN(2)/25))/(LN(2)/25)*Calculateur!V105*Calculateur!X105*VLOOKUP('Données projet'!$B$9,Paramètres!$A$1:$I$89,3,0)*0.475*44/12</f>
        <v>1.0729557695839509</v>
      </c>
      <c r="AB105" s="23">
        <f>EXP(-LN(2)/2)*AB104+(1-EXP(-LN(2)/2))/(LN(2)/2)*V105*Y105*VLOOKUP('Données projet'!$B$9,Paramètres!$A$1:$I$89,3,0)*0.475*44/12</f>
        <v>8.6854873115811485E-9</v>
      </c>
      <c r="AC105" s="24">
        <f t="shared" si="57"/>
        <v>4.5936347579258063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272.85581758101404</v>
      </c>
      <c r="AO105" s="62">
        <f t="shared" si="90"/>
        <v>180.73985910201225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2.7845213153787794E-10</v>
      </c>
      <c r="AX105" s="23">
        <f t="shared" si="60"/>
        <v>2.7845213153787794E-10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282.598842734946</v>
      </c>
      <c r="BJ105" s="62">
        <f t="shared" si="92"/>
        <v>335.56869428808034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2.9440373127720161</v>
      </c>
      <c r="BQ105" s="23">
        <f>EXP(-LN(2)/25)*BQ104+(1-EXP(-LN(2)/25))/(LN(2)/25)*Calculateur!BL105*Calculateur!BN105*VLOOKUP('Données projet'!$B$11,Paramètres!$A$1:$I$89,3,0)*0.475*44/12</f>
        <v>2.1952542542666929</v>
      </c>
      <c r="BR105" s="23">
        <f>EXP(-LN(2)/2)*BR104+(1-EXP(-LN(2)/2))/(LN(2)/2)*BL105*BO105*VLOOKUP('Données projet'!$B$11,Paramètres!$A$1:$I$89,3,0)*0.475*44/12</f>
        <v>9.3200621529507286E-10</v>
      </c>
      <c r="BS105" s="24">
        <f t="shared" si="63"/>
        <v>5.1392915679707158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424.83791687506221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314.1401276393035</v>
      </c>
      <c r="T106" s="62">
        <f t="shared" si="88"/>
        <v>243.75878492878178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3.4516406122674463</v>
      </c>
      <c r="AA106" s="23">
        <f>EXP(-LN(2)/25)*AA105+(1-EXP(-LN(2)/25))/(LN(2)/25)*Calculateur!V106*Calculateur!X106*VLOOKUP('Données projet'!$B$9,Paramètres!$A$1:$I$89,3,0)*0.475*44/12</f>
        <v>1.0436157376403861</v>
      </c>
      <c r="AB106" s="23">
        <f>EXP(-LN(2)/2)*AB105+(1-EXP(-LN(2)/2))/(LN(2)/2)*V106*Y106*VLOOKUP('Données projet'!$B$9,Paramètres!$A$1:$I$89,3,0)*0.475*44/12</f>
        <v>6.1415669759287462E-9</v>
      </c>
      <c r="AC106" s="24">
        <f t="shared" si="57"/>
        <v>4.4952563560493992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272.85581758101404</v>
      </c>
      <c r="AO106" s="62">
        <f t="shared" si="90"/>
        <v>180.73985910201225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1.9689539044628201E-10</v>
      </c>
      <c r="AX106" s="23">
        <f t="shared" si="60"/>
        <v>1.9689539044628201E-10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282.598842734946</v>
      </c>
      <c r="BJ106" s="62">
        <f t="shared" si="92"/>
        <v>335.56869428808034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2.8863065367540086</v>
      </c>
      <c r="BQ106" s="23">
        <f>EXP(-LN(2)/25)*BQ105+(1-EXP(-LN(2)/25))/(LN(2)/25)*Calculateur!BL106*Calculateur!BN106*VLOOKUP('Données projet'!$B$11,Paramètres!$A$1:$I$89,3,0)*0.475*44/12</f>
        <v>2.1352249112403663</v>
      </c>
      <c r="BR106" s="23">
        <f>EXP(-LN(2)/2)*BR105+(1-EXP(-LN(2)/2))/(LN(2)/2)*BL106*BO106*VLOOKUP('Données projet'!$B$11,Paramètres!$A$1:$I$89,3,0)*0.475*44/12</f>
        <v>6.5902791494315539E-10</v>
      </c>
      <c r="BS106" s="24">
        <f t="shared" si="63"/>
        <v>5.0215314486534028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426.42906228094421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314.1401276393035</v>
      </c>
      <c r="T107" s="62">
        <f t="shared" si="88"/>
        <v>243.75878492878178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3.3839560451537749</v>
      </c>
      <c r="AA107" s="23">
        <f>EXP(-LN(2)/25)*AA106+(1-EXP(-LN(2)/25))/(LN(2)/25)*Calculateur!V107*Calculateur!X107*VLOOKUP('Données projet'!$B$9,Paramètres!$A$1:$I$89,3,0)*0.475*44/12</f>
        <v>1.0150780104132433</v>
      </c>
      <c r="AB107" s="23">
        <f>EXP(-LN(2)/2)*AB106+(1-EXP(-LN(2)/2))/(LN(2)/2)*V107*Y107*VLOOKUP('Données projet'!$B$9,Paramètres!$A$1:$I$89,3,0)*0.475*44/12</f>
        <v>4.3427436557905742E-9</v>
      </c>
      <c r="AC107" s="24">
        <f t="shared" si="57"/>
        <v>4.3990340599097619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840.19313504559477</v>
      </c>
      <c r="AN107" s="62">
        <f ca="1">AVERAGE(OFFSET($AM$3,0,0,'Données projet'!$E$10+1,1))-AVERAGE(OFFSET($H$3,0,0,'Données projet'!$E$10+1,1))</f>
        <v>272.85581758101404</v>
      </c>
      <c r="AO107" s="62">
        <f t="shared" si="90"/>
        <v>180.73985910201225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1.3922606576893897E-10</v>
      </c>
      <c r="AX107" s="23">
        <f t="shared" si="60"/>
        <v>1.3922606576893897E-10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282.598842734946</v>
      </c>
      <c r="BJ107" s="62">
        <f t="shared" si="92"/>
        <v>335.56869428808034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2.8297078260414175</v>
      </c>
      <c r="BQ107" s="23">
        <f>EXP(-LN(2)/25)*BQ106+(1-EXP(-LN(2)/25))/(LN(2)/25)*Calculateur!BL107*Calculateur!BN107*VLOOKUP('Données projet'!$B$11,Paramètres!$A$1:$I$89,3,0)*0.475*44/12</f>
        <v>2.0768370737559003</v>
      </c>
      <c r="BR107" s="23">
        <f>EXP(-LN(2)/2)*BR106+(1-EXP(-LN(2)/2))/(LN(2)/2)*BL107*BO107*VLOOKUP('Données projet'!$B$11,Paramètres!$A$1:$I$89,3,0)*0.475*44/12</f>
        <v>4.6600310764753643E-10</v>
      </c>
      <c r="BS107" s="24">
        <f t="shared" si="63"/>
        <v>4.906544900263321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428.01985626539664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314.1401276393035</v>
      </c>
      <c r="T108" s="62">
        <f t="shared" si="88"/>
        <v>243.75878492878178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3.3175987311176929</v>
      </c>
      <c r="AA108" s="23">
        <f>EXP(-LN(2)/25)*AA107+(1-EXP(-LN(2)/25))/(LN(2)/25)*Calculateur!V108*Calculateur!X108*VLOOKUP('Données projet'!$B$9,Paramètres!$A$1:$I$89,3,0)*0.475*44/12</f>
        <v>0.98732064883786064</v>
      </c>
      <c r="AB108" s="23">
        <f>EXP(-LN(2)/2)*AB107+(1-EXP(-LN(2)/2))/(LN(2)/2)*V108*Y108*VLOOKUP('Données projet'!$B$9,Paramètres!$A$1:$I$89,3,0)*0.475*44/12</f>
        <v>3.0707834879643731E-9</v>
      </c>
      <c r="AC108" s="24">
        <f t="shared" si="57"/>
        <v>4.3049193830263368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272.85581758101404</v>
      </c>
      <c r="AO108" s="62">
        <f t="shared" si="90"/>
        <v>180.73985910201225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9.8447695223141005E-11</v>
      </c>
      <c r="AX108" s="23">
        <f t="shared" si="60"/>
        <v>9.8447695223141005E-11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282.598842734946</v>
      </c>
      <c r="BJ108" s="62">
        <f t="shared" si="92"/>
        <v>335.56869428808034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2.7742189815240956</v>
      </c>
      <c r="BQ108" s="23">
        <f>EXP(-LN(2)/25)*BQ107+(1-EXP(-LN(2)/25))/(LN(2)/25)*Calculateur!BL108*Calculateur!BN108*VLOOKUP('Données projet'!$B$11,Paramètres!$A$1:$I$89,3,0)*0.475*44/12</f>
        <v>2.0200458547579303</v>
      </c>
      <c r="BR108" s="23">
        <f>EXP(-LN(2)/2)*BR107+(1-EXP(-LN(2)/2))/(LN(2)/2)*BL108*BO108*VLOOKUP('Données projet'!$B$11,Paramètres!$A$1:$I$89,3,0)*0.475*44/12</f>
        <v>3.2951395747157769E-10</v>
      </c>
      <c r="BS108" s="24">
        <f t="shared" si="63"/>
        <v>4.7942648366115401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429.61030256290928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314.1401276393035</v>
      </c>
      <c r="T109" s="62">
        <f t="shared" si="88"/>
        <v>243.75878492878178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3.2525426435358935</v>
      </c>
      <c r="AA109" s="23">
        <f>EXP(-LN(2)/25)*AA108+(1-EXP(-LN(2)/25))/(LN(2)/25)*Calculateur!V109*Calculateur!X109*VLOOKUP('Données projet'!$B$9,Paramètres!$A$1:$I$89,3,0)*0.475*44/12</f>
        <v>0.96032231377445298</v>
      </c>
      <c r="AB109" s="23">
        <f>EXP(-LN(2)/2)*AB108+(1-EXP(-LN(2)/2))/(LN(2)/2)*V109*Y109*VLOOKUP('Données projet'!$B$9,Paramètres!$A$1:$I$89,3,0)*0.475*44/12</f>
        <v>2.1713718278952871E-9</v>
      </c>
      <c r="AC109" s="24">
        <f t="shared" si="57"/>
        <v>4.2128649594817178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272.85581758101404</v>
      </c>
      <c r="AO109" s="62">
        <f t="shared" si="90"/>
        <v>180.73985910201225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6.9613032884469486E-11</v>
      </c>
      <c r="AX109" s="23">
        <f t="shared" si="60"/>
        <v>6.9613032884469486E-11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282.598842734946</v>
      </c>
      <c r="BJ109" s="62">
        <f t="shared" si="92"/>
        <v>335.56869428808034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2.7198182394029051</v>
      </c>
      <c r="BQ109" s="23">
        <f>EXP(-LN(2)/25)*BQ108+(1-EXP(-LN(2)/25))/(LN(2)/25)*Calculateur!BL109*Calculateur!BN109*VLOOKUP('Données projet'!$B$11,Paramètres!$A$1:$I$89,3,0)*0.475*44/12</f>
        <v>1.9648075946299801</v>
      </c>
      <c r="BR109" s="23">
        <f>EXP(-LN(2)/2)*BR108+(1-EXP(-LN(2)/2))/(LN(2)/2)*BL109*BO109*VLOOKUP('Données projet'!$B$11,Paramètres!$A$1:$I$89,3,0)*0.475*44/12</f>
        <v>2.3300155382376822E-10</v>
      </c>
      <c r="BS109" s="24">
        <f t="shared" si="63"/>
        <v>4.6846258342658862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431.20040483344633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314.1401276393035</v>
      </c>
      <c r="T110" s="62">
        <f t="shared" si="88"/>
        <v>243.75878492878178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3.1887622661512776</v>
      </c>
      <c r="AA110" s="23">
        <f>EXP(-LN(2)/25)*AA109+(1-EXP(-LN(2)/25))/(LN(2)/25)*Calculateur!V110*Calculateur!X110*VLOOKUP('Données projet'!$B$9,Paramètres!$A$1:$I$89,3,0)*0.475*44/12</f>
        <v>0.93406224960313489</v>
      </c>
      <c r="AB110" s="23">
        <f>EXP(-LN(2)/2)*AB109+(1-EXP(-LN(2)/2))/(LN(2)/2)*V110*Y110*VLOOKUP('Données projet'!$B$9,Paramètres!$A$1:$I$89,3,0)*0.475*44/12</f>
        <v>1.5353917439821865E-9</v>
      </c>
      <c r="AC110" s="24">
        <f t="shared" si="57"/>
        <v>4.1228245172898035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826.79957739592783</v>
      </c>
      <c r="AN110" s="62">
        <f ca="1">AVERAGE(OFFSET($AM$3,0,0,'Données projet'!$E$10+1,1))-AVERAGE(OFFSET($H$3,0,0,'Données projet'!$E$10+1,1))</f>
        <v>272.85581758101404</v>
      </c>
      <c r="AO110" s="62">
        <f t="shared" si="90"/>
        <v>180.73985910201225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4.9223847611570503E-11</v>
      </c>
      <c r="AX110" s="23">
        <f t="shared" si="60"/>
        <v>4.9223847611570503E-11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282.598842734946</v>
      </c>
      <c r="BJ110" s="62">
        <f t="shared" si="92"/>
        <v>335.56869428808034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2.666484262653535</v>
      </c>
      <c r="BQ110" s="23">
        <f>EXP(-LN(2)/25)*BQ109+(1-EXP(-LN(2)/25))/(LN(2)/25)*Calculateur!BL110*Calculateur!BN110*VLOOKUP('Données projet'!$B$11,Paramètres!$A$1:$I$89,3,0)*0.475*44/12</f>
        <v>1.9110798276300824</v>
      </c>
      <c r="BR110" s="23">
        <f>EXP(-LN(2)/2)*BR109+(1-EXP(-LN(2)/2))/(LN(2)/2)*BL110*BO110*VLOOKUP('Données projet'!$B$11,Paramètres!$A$1:$I$89,3,0)*0.475*44/12</f>
        <v>1.6475697873578885E-10</v>
      </c>
      <c r="BS110" s="24">
        <f t="shared" si="63"/>
        <v>4.5775640904483748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432.79016666461615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314.1401276393035</v>
      </c>
      <c r="T111" s="62">
        <f t="shared" si="88"/>
        <v>243.75878492878178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3.1262325830649851</v>
      </c>
      <c r="AA111" s="23">
        <f>EXP(-LN(2)/25)*AA110+(1-EXP(-LN(2)/25))/(LN(2)/25)*Calculateur!V111*Calculateur!X111*VLOOKUP('Données projet'!$B$9,Paramètres!$A$1:$I$89,3,0)*0.475*44/12</f>
        <v>0.90852026826753829</v>
      </c>
      <c r="AB111" s="23">
        <f>EXP(-LN(2)/2)*AB110+(1-EXP(-LN(2)/2))/(LN(2)/2)*V111*Y111*VLOOKUP('Données projet'!$B$9,Paramètres!$A$1:$I$89,3,0)*0.475*44/12</f>
        <v>1.0856859139476436E-9</v>
      </c>
      <c r="AC111" s="24">
        <f t="shared" si="57"/>
        <v>4.0347528524182099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272.85581758101404</v>
      </c>
      <c r="AO111" s="62">
        <f t="shared" si="90"/>
        <v>180.73985910201225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3.4806516442234743E-11</v>
      </c>
      <c r="AX111" s="23">
        <f t="shared" si="60"/>
        <v>3.4806516442234743E-11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282.598842734946</v>
      </c>
      <c r="BJ111" s="62">
        <f t="shared" si="92"/>
        <v>335.56869428808034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2.6141961326577063</v>
      </c>
      <c r="BQ111" s="23">
        <f>EXP(-LN(2)/25)*BQ110+(1-EXP(-LN(2)/25))/(LN(2)/25)*Calculateur!BL111*Calculateur!BN111*VLOOKUP('Données projet'!$B$11,Paramètres!$A$1:$I$89,3,0)*0.475*44/12</f>
        <v>1.8588212492442175</v>
      </c>
      <c r="BR111" s="23">
        <f>EXP(-LN(2)/2)*BR110+(1-EXP(-LN(2)/2))/(LN(2)/2)*BL111*BO111*VLOOKUP('Données projet'!$B$11,Paramètres!$A$1:$I$89,3,0)*0.475*44/12</f>
        <v>1.1650077691188411E-10</v>
      </c>
      <c r="BS111" s="24">
        <f t="shared" si="63"/>
        <v>4.4730173820184245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434.37959157375849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314.1401276393035</v>
      </c>
      <c r="T112" s="62">
        <f t="shared" si="88"/>
        <v>243.75878492878178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3.0649290689246742</v>
      </c>
      <c r="AA112" s="23">
        <f>EXP(-LN(2)/25)*AA111+(1-EXP(-LN(2)/25))/(LN(2)/25)*Calculateur!V112*Calculateur!X112*VLOOKUP('Données projet'!$B$9,Paramètres!$A$1:$I$89,3,0)*0.475*44/12</f>
        <v>0.88367673375475797</v>
      </c>
      <c r="AB112" s="23">
        <f>EXP(-LN(2)/2)*AB111+(1-EXP(-LN(2)/2))/(LN(2)/2)*V112*Y112*VLOOKUP('Données projet'!$B$9,Paramètres!$A$1:$I$89,3,0)*0.475*44/12</f>
        <v>7.6769587199109327E-10</v>
      </c>
      <c r="AC112" s="24">
        <f t="shared" si="57"/>
        <v>3.9486058034471276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842.87101477629085</v>
      </c>
      <c r="AN112" s="62">
        <f ca="1">AVERAGE(OFFSET($AM$3,0,0,'Données projet'!$E$10+1,1))-AVERAGE(OFFSET($H$3,0,0,'Données projet'!$E$10+1,1))</f>
        <v>272.85581758101404</v>
      </c>
      <c r="AO112" s="62">
        <f t="shared" si="90"/>
        <v>180.73985910201225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2.4611923805785251E-11</v>
      </c>
      <c r="AX112" s="23">
        <f t="shared" si="60"/>
        <v>2.4611923805785251E-11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282.598842734946</v>
      </c>
      <c r="BJ112" s="62">
        <f t="shared" si="92"/>
        <v>335.56869428808034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2.5629333409984856</v>
      </c>
      <c r="BQ112" s="23">
        <f>EXP(-LN(2)/25)*BQ111+(1-EXP(-LN(2)/25))/(LN(2)/25)*Calculateur!BL112*Calculateur!BN112*VLOOKUP('Données projet'!$B$11,Paramètres!$A$1:$I$89,3,0)*0.475*44/12</f>
        <v>1.8079916844324733</v>
      </c>
      <c r="BR112" s="23">
        <f>EXP(-LN(2)/2)*BR111+(1-EXP(-LN(2)/2))/(LN(2)/2)*BL112*BO112*VLOOKUP('Données projet'!$B$11,Paramètres!$A$1:$I$89,3,0)*0.475*44/12</f>
        <v>8.2378489367894424E-11</v>
      </c>
      <c r="BS112" s="24">
        <f t="shared" si="63"/>
        <v>4.3709250255133369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435.96868300995197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314.1401276393035</v>
      </c>
      <c r="T113" s="62">
        <f t="shared" si="88"/>
        <v>243.75878492878178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3.0048276793052033</v>
      </c>
      <c r="AA113" s="23">
        <f>EXP(-LN(2)/25)*AA112+(1-EXP(-LN(2)/25))/(LN(2)/25)*Calculateur!V113*Calculateur!X113*VLOOKUP('Données projet'!$B$9,Paramètres!$A$1:$I$89,3,0)*0.475*44/12</f>
        <v>0.85951254699969437</v>
      </c>
      <c r="AB113" s="23">
        <f>EXP(-LN(2)/2)*AB112+(1-EXP(-LN(2)/2))/(LN(2)/2)*V113*Y113*VLOOKUP('Données projet'!$B$9,Paramètres!$A$1:$I$89,3,0)*0.475*44/12</f>
        <v>5.4284295697382178E-10</v>
      </c>
      <c r="AC113" s="24">
        <f t="shared" si="57"/>
        <v>3.8643402268477409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850.90301808359118</v>
      </c>
      <c r="AN113" s="62">
        <f ca="1">AVERAGE(OFFSET($AM$3,0,0,'Données projet'!$E$10+1,1))-AVERAGE(OFFSET($H$3,0,0,'Données projet'!$E$10+1,1))</f>
        <v>272.85581758101404</v>
      </c>
      <c r="AO113" s="62">
        <f t="shared" si="90"/>
        <v>180.73985910201225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1.7403258221117371E-11</v>
      </c>
      <c r="AX113" s="23">
        <f t="shared" si="60"/>
        <v>1.7403258221117371E-11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282.598842734946</v>
      </c>
      <c r="BJ113" s="62">
        <f t="shared" si="92"/>
        <v>335.56869428808034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2.5126757814164868</v>
      </c>
      <c r="BQ113" s="23">
        <f>EXP(-LN(2)/25)*BQ112+(1-EXP(-LN(2)/25))/(LN(2)/25)*Calculateur!BL113*Calculateur!BN113*VLOOKUP('Données projet'!$B$11,Paramètres!$A$1:$I$89,3,0)*0.475*44/12</f>
        <v>1.7585520567435169</v>
      </c>
      <c r="BR113" s="23">
        <f>EXP(-LN(2)/2)*BR112+(1-EXP(-LN(2)/2))/(LN(2)/2)*BL113*BO113*VLOOKUP('Données projet'!$B$11,Paramètres!$A$1:$I$89,3,0)*0.475*44/12</f>
        <v>5.8250388455942054E-11</v>
      </c>
      <c r="BS113" s="24">
        <f t="shared" si="63"/>
        <v>4.2712278382182536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437.55744435594727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314.1401276393035</v>
      </c>
      <c r="T114" s="62">
        <f t="shared" si="88"/>
        <v>243.75878492878178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2.9459048412779421</v>
      </c>
      <c r="AA114" s="23">
        <f>EXP(-LN(2)/25)*AA113+(1-EXP(-LN(2)/25))/(LN(2)/25)*Calculateur!V114*Calculateur!X114*VLOOKUP('Données projet'!$B$9,Paramètres!$A$1:$I$89,3,0)*0.475*44/12</f>
        <v>0.83600913120218734</v>
      </c>
      <c r="AB114" s="23">
        <f>EXP(-LN(2)/2)*AB113+(1-EXP(-LN(2)/2))/(LN(2)/2)*V114*Y114*VLOOKUP('Données projet'!$B$9,Paramètres!$A$1:$I$89,3,0)*0.475*44/12</f>
        <v>3.8384793599554664E-10</v>
      </c>
      <c r="AC114" s="24">
        <f t="shared" si="57"/>
        <v>3.7819139728639777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821.82303552923008</v>
      </c>
      <c r="AN114" s="62">
        <f ca="1">AVERAGE(OFFSET($AM$3,0,0,'Données projet'!$E$10+1,1))-AVERAGE(OFFSET($H$3,0,0,'Données projet'!$E$10+1,1))</f>
        <v>272.85581758101404</v>
      </c>
      <c r="AO114" s="62">
        <f t="shared" si="90"/>
        <v>180.73985910201225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1.2305961902892626E-11</v>
      </c>
      <c r="AX114" s="23">
        <f t="shared" si="60"/>
        <v>1.2305961902892626E-11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282.598842734946</v>
      </c>
      <c r="BJ114" s="62">
        <f t="shared" si="92"/>
        <v>335.56869428808034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2.4634037419238064</v>
      </c>
      <c r="BQ114" s="23">
        <f>EXP(-LN(2)/25)*BQ113+(1-EXP(-LN(2)/25))/(LN(2)/25)*Calculateur!BL114*Calculateur!BN114*VLOOKUP('Données projet'!$B$11,Paramètres!$A$1:$I$89,3,0)*0.475*44/12</f>
        <v>1.7104643582736321</v>
      </c>
      <c r="BR114" s="23">
        <f>EXP(-LN(2)/2)*BR113+(1-EXP(-LN(2)/2))/(LN(2)/2)*BL114*BO114*VLOOKUP('Données projet'!$B$11,Paramètres!$A$1:$I$89,3,0)*0.475*44/12</f>
        <v>4.1189244683947212E-11</v>
      </c>
      <c r="BS114" s="24">
        <f t="shared" si="63"/>
        <v>4.1738681002386278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439.1458789300288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314.1401276393035</v>
      </c>
      <c r="T115" s="62">
        <f t="shared" si="88"/>
        <v>243.75878492878178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2.8881374441650132</v>
      </c>
      <c r="AA115" s="23">
        <f>EXP(-LN(2)/25)*AA114+(1-EXP(-LN(2)/25))/(LN(2)/25)*Calculateur!V115*Calculateur!X115*VLOOKUP('Données projet'!$B$9,Paramètres!$A$1:$I$89,3,0)*0.475*44/12</f>
        <v>0.81314841754565403</v>
      </c>
      <c r="AB115" s="23">
        <f>EXP(-LN(2)/2)*AB114+(1-EXP(-LN(2)/2))/(LN(2)/2)*V115*Y115*VLOOKUP('Données projet'!$B$9,Paramètres!$A$1:$I$89,3,0)*0.475*44/12</f>
        <v>2.7142147848691089E-10</v>
      </c>
      <c r="AC115" s="24">
        <f t="shared" si="57"/>
        <v>3.7012858619820888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272.85581758101404</v>
      </c>
      <c r="AO115" s="62">
        <f t="shared" si="90"/>
        <v>180.73985910201225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8.7016291105586857E-12</v>
      </c>
      <c r="AX115" s="23">
        <f t="shared" si="60"/>
        <v>8.7016291105586857E-12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282.598842734946</v>
      </c>
      <c r="BJ115" s="62">
        <f t="shared" si="92"/>
        <v>335.56869428808034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2.4150978970726009</v>
      </c>
      <c r="BQ115" s="23">
        <f>EXP(-LN(2)/25)*BQ114+(1-EXP(-LN(2)/25))/(LN(2)/25)*Calculateur!BL115*Calculateur!BN115*VLOOKUP('Données projet'!$B$11,Paramètres!$A$1:$I$89,3,0)*0.475*44/12</f>
        <v>1.6636916204472283</v>
      </c>
      <c r="BR115" s="23">
        <f>EXP(-LN(2)/2)*BR114+(1-EXP(-LN(2)/2))/(LN(2)/2)*BL115*BO115*VLOOKUP('Données projet'!$B$11,Paramètres!$A$1:$I$89,3,0)*0.475*44/12</f>
        <v>2.9125194227971027E-11</v>
      </c>
      <c r="BS115" s="24">
        <f t="shared" si="63"/>
        <v>4.0787895175489544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440.73398998780704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314.1401276393035</v>
      </c>
      <c r="T116" s="62">
        <f t="shared" si="88"/>
        <v>243.75878492878178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2.8315028304748355</v>
      </c>
      <c r="AA116" s="23">
        <f>EXP(-LN(2)/25)*AA115+(1-EXP(-LN(2)/25))/(LN(2)/25)*Calculateur!V116*Calculateur!X116*VLOOKUP('Données projet'!$B$9,Paramètres!$A$1:$I$89,3,0)*0.475*44/12</f>
        <v>0.79091283130625134</v>
      </c>
      <c r="AB116" s="23">
        <f>EXP(-LN(2)/2)*AB115+(1-EXP(-LN(2)/2))/(LN(2)/2)*V116*Y116*VLOOKUP('Données projet'!$B$9,Paramètres!$A$1:$I$89,3,0)*0.475*44/12</f>
        <v>1.9192396799777332E-10</v>
      </c>
      <c r="AC116" s="24">
        <f t="shared" si="57"/>
        <v>3.6224156619730108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272.85581758101404</v>
      </c>
      <c r="AO116" s="62">
        <f t="shared" si="90"/>
        <v>180.73985910201225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6.1529809514463128E-12</v>
      </c>
      <c r="AX116" s="23">
        <f t="shared" si="60"/>
        <v>6.1529809514463128E-12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282.598842734946</v>
      </c>
      <c r="BJ116" s="62">
        <f t="shared" si="92"/>
        <v>335.56869428808034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2.3677393003752716</v>
      </c>
      <c r="BQ116" s="23">
        <f>EXP(-LN(2)/25)*BQ115+(1-EXP(-LN(2)/25))/(LN(2)/25)*Calculateur!BL116*Calculateur!BN116*VLOOKUP('Données projet'!$B$11,Paramètres!$A$1:$I$89,3,0)*0.475*44/12</f>
        <v>1.618197885596359</v>
      </c>
      <c r="BR116" s="23">
        <f>EXP(-LN(2)/2)*BR115+(1-EXP(-LN(2)/2))/(LN(2)/2)*BL116*BO116*VLOOKUP('Données projet'!$B$11,Paramètres!$A$1:$I$89,3,0)*0.475*44/12</f>
        <v>2.0594622341973606E-11</v>
      </c>
      <c r="BS116" s="24">
        <f t="shared" si="63"/>
        <v>3.9859371859922255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442.32178072394663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314.1401276393035</v>
      </c>
      <c r="T117" s="62">
        <f t="shared" si="88"/>
        <v>243.75878492878178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2.7759787870154189</v>
      </c>
      <c r="AA117" s="23">
        <f>EXP(-LN(2)/25)*AA116+(1-EXP(-LN(2)/25))/(LN(2)/25)*Calculateur!V117*Calculateur!X117*VLOOKUP('Données projet'!$B$9,Paramètres!$A$1:$I$89,3,0)*0.475*44/12</f>
        <v>0.76928527834188376</v>
      </c>
      <c r="AB117" s="23">
        <f>EXP(-LN(2)/2)*AB116+(1-EXP(-LN(2)/2))/(LN(2)/2)*V117*Y117*VLOOKUP('Données projet'!$B$9,Paramètres!$A$1:$I$89,3,0)*0.475*44/12</f>
        <v>1.3571073924345544E-10</v>
      </c>
      <c r="AC117" s="24">
        <f t="shared" si="57"/>
        <v>3.5452640654930132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272.85581758101404</v>
      </c>
      <c r="AO117" s="62">
        <f t="shared" si="90"/>
        <v>180.73985910201225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4.3508145552793429E-12</v>
      </c>
      <c r="AX117" s="23">
        <f t="shared" si="60"/>
        <v>4.3508145552793429E-12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282.598842734946</v>
      </c>
      <c r="BJ117" s="62">
        <f t="shared" si="92"/>
        <v>335.56869428808034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2.3213093768732849</v>
      </c>
      <c r="BQ117" s="23">
        <f>EXP(-LN(2)/25)*BQ116+(1-EXP(-LN(2)/25))/(LN(2)/25)*Calculateur!BL117*Calculateur!BN117*VLOOKUP('Données projet'!$B$11,Paramètres!$A$1:$I$89,3,0)*0.475*44/12</f>
        <v>1.5739481793173982</v>
      </c>
      <c r="BR117" s="23">
        <f>EXP(-LN(2)/2)*BR116+(1-EXP(-LN(2)/2))/(LN(2)/2)*BL117*BO117*VLOOKUP('Données projet'!$B$11,Paramètres!$A$1:$I$89,3,0)*0.475*44/12</f>
        <v>1.4562597113985514E-11</v>
      </c>
      <c r="BS117" s="24">
        <f t="shared" si="63"/>
        <v>3.8952575562052454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443.90925427383166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314.1401276393035</v>
      </c>
      <c r="T118" s="62">
        <f t="shared" si="88"/>
        <v>243.75878492878178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2.7215435361819189</v>
      </c>
      <c r="AA118" s="23">
        <f>EXP(-LN(2)/25)*AA117+(1-EXP(-LN(2)/25))/(LN(2)/25)*Calculateur!V118*Calculateur!X118*VLOOKUP('Données projet'!$B$9,Paramètres!$A$1:$I$89,3,0)*0.475*44/12</f>
        <v>0.74824913195067033</v>
      </c>
      <c r="AB118" s="23">
        <f>EXP(-LN(2)/2)*AB117+(1-EXP(-LN(2)/2))/(LN(2)/2)*V118*Y118*VLOOKUP('Données projet'!$B$9,Paramètres!$A$1:$I$89,3,0)*0.475*44/12</f>
        <v>9.5961983998886659E-11</v>
      </c>
      <c r="AC118" s="24">
        <f t="shared" si="57"/>
        <v>3.4697926682285511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272.85581758101404</v>
      </c>
      <c r="AO118" s="62">
        <f t="shared" si="90"/>
        <v>180.73985910201225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3.0764904757231564E-12</v>
      </c>
      <c r="AX118" s="23">
        <f t="shared" si="60"/>
        <v>3.0764904757231564E-12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282.598842734946</v>
      </c>
      <c r="BJ118" s="62">
        <f t="shared" si="92"/>
        <v>335.56869428808034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2.275789915851715</v>
      </c>
      <c r="BQ118" s="23">
        <f>EXP(-LN(2)/25)*BQ117+(1-EXP(-LN(2)/25))/(LN(2)/25)*Calculateur!BL118*Calculateur!BN118*VLOOKUP('Données projet'!$B$11,Paramètres!$A$1:$I$89,3,0)*0.475*44/12</f>
        <v>1.5309084835836264</v>
      </c>
      <c r="BR118" s="23">
        <f>EXP(-LN(2)/2)*BR117+(1-EXP(-LN(2)/2))/(LN(2)/2)*BL118*BO118*VLOOKUP('Données projet'!$B$11,Paramètres!$A$1:$I$89,3,0)*0.475*44/12</f>
        <v>1.0297311170986803E-11</v>
      </c>
      <c r="BS118" s="24">
        <f t="shared" si="63"/>
        <v>3.8066983994456387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445.49641371517112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314.1401276393035</v>
      </c>
      <c r="T119" s="62">
        <f t="shared" si="88"/>
        <v>243.75878492878178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2.6681757274150395</v>
      </c>
      <c r="AA119" s="23">
        <f>EXP(-LN(2)/25)*AA118+(1-EXP(-LN(2)/25))/(LN(2)/25)*Calculateur!V119*Calculateur!X119*VLOOKUP('Données projet'!$B$9,Paramètres!$A$1:$I$89,3,0)*0.475*44/12</f>
        <v>0.72778822008876753</v>
      </c>
      <c r="AB119" s="23">
        <f>EXP(-LN(2)/2)*AB118+(1-EXP(-LN(2)/2))/(LN(2)/2)*V119*Y119*VLOOKUP('Données projet'!$B$9,Paramètres!$A$1:$I$89,3,0)*0.475*44/12</f>
        <v>6.7855369621727722E-11</v>
      </c>
      <c r="AC119" s="24">
        <f t="shared" si="57"/>
        <v>3.3959639475716625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244.83888000000002</v>
      </c>
      <c r="AK119" s="14">
        <f t="shared" si="89"/>
        <v>59.479426489427787</v>
      </c>
      <c r="AL119" s="22">
        <f t="shared" si="58"/>
        <v>530.02105046908684</v>
      </c>
      <c r="AM119" s="62">
        <f t="shared" si="59"/>
        <v>823.35438380242022</v>
      </c>
      <c r="AN119" s="62">
        <f ca="1">AVERAGE(OFFSET($AM$3,0,0,'Données projet'!$E$10+1,1))-AVERAGE(OFFSET($H$3,0,0,'Données projet'!$E$10+1,1))</f>
        <v>272.85581758101404</v>
      </c>
      <c r="AO119" s="62">
        <f t="shared" si="90"/>
        <v>180.73985910201225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2.1754072776396714E-12</v>
      </c>
      <c r="AX119" s="23">
        <f t="shared" si="60"/>
        <v>2.1754072776396714E-12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282.598842734946</v>
      </c>
      <c r="BJ119" s="62">
        <f t="shared" si="92"/>
        <v>335.56869428808034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2.2311630636966484</v>
      </c>
      <c r="BQ119" s="23">
        <f>EXP(-LN(2)/25)*BQ118+(1-EXP(-LN(2)/25))/(LN(2)/25)*Calculateur!BL119*Calculateur!BN119*VLOOKUP('Données projet'!$B$11,Paramètres!$A$1:$I$89,3,0)*0.475*44/12</f>
        <v>1.4890457105930539</v>
      </c>
      <c r="BR119" s="23">
        <f>EXP(-LN(2)/2)*BR118+(1-EXP(-LN(2)/2))/(LN(2)/2)*BL119*BO119*VLOOKUP('Données projet'!$B$11,Paramètres!$A$1:$I$89,3,0)*0.475*44/12</f>
        <v>7.2812985569927568E-12</v>
      </c>
      <c r="BS119" s="24">
        <f t="shared" si="63"/>
        <v>3.7202087742969834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447.08326206954797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314.1401276393035</v>
      </c>
      <c r="T120" s="62">
        <f t="shared" si="88"/>
        <v>243.75878492878178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2.6158544288269292</v>
      </c>
      <c r="AA120" s="23">
        <f>EXP(-LN(2)/25)*AA119+(1-EXP(-LN(2)/25))/(LN(2)/25)*Calculateur!V120*Calculateur!X120*VLOOKUP('Données projet'!$B$9,Paramètres!$A$1:$I$89,3,0)*0.475*44/12</f>
        <v>0.70788681293772104</v>
      </c>
      <c r="AB120" s="23">
        <f>EXP(-LN(2)/2)*AB119+(1-EXP(-LN(2)/2))/(LN(2)/2)*V120*Y120*VLOOKUP('Données projet'!$B$9,Paramètres!$A$1:$I$89,3,0)*0.475*44/12</f>
        <v>4.798099199944333E-11</v>
      </c>
      <c r="AC120" s="24">
        <f t="shared" si="57"/>
        <v>3.3237412418126313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248.09616</v>
      </c>
      <c r="AK120" s="14">
        <f t="shared" si="89"/>
        <v>60.178080967364686</v>
      </c>
      <c r="AL120" s="22">
        <f t="shared" si="58"/>
        <v>536.91096968482668</v>
      </c>
      <c r="AM120" s="62">
        <f t="shared" si="59"/>
        <v>830.24430301816005</v>
      </c>
      <c r="AN120" s="62">
        <f ca="1">AVERAGE(OFFSET($AM$3,0,0,'Données projet'!$E$10+1,1))-AVERAGE(OFFSET($H$3,0,0,'Données projet'!$E$10+1,1))</f>
        <v>272.85581758101404</v>
      </c>
      <c r="AO120" s="62">
        <f t="shared" si="90"/>
        <v>180.73985910201225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1.5382452378615782E-12</v>
      </c>
      <c r="AX120" s="23">
        <f t="shared" si="60"/>
        <v>1.5382452378615782E-12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282.598842734946</v>
      </c>
      <c r="BJ120" s="62">
        <f t="shared" si="92"/>
        <v>335.56869428808034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2.1874113168926508</v>
      </c>
      <c r="BQ120" s="23">
        <f>EXP(-LN(2)/25)*BQ119+(1-EXP(-LN(2)/25))/(LN(2)/25)*Calculateur!BL120*Calculateur!BN120*VLOOKUP('Données projet'!$B$11,Paramètres!$A$1:$I$89,3,0)*0.475*44/12</f>
        <v>1.4483276773313762</v>
      </c>
      <c r="BR120" s="23">
        <f>EXP(-LN(2)/2)*BR119+(1-EXP(-LN(2)/2))/(LN(2)/2)*BL120*BO120*VLOOKUP('Données projet'!$B$11,Paramètres!$A$1:$I$89,3,0)*0.475*44/12</f>
        <v>5.1486555854934015E-12</v>
      </c>
      <c r="BS120" s="24">
        <f t="shared" si="63"/>
        <v>3.6357389942291758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448.66980230391312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314.1401276393035</v>
      </c>
      <c r="T121" s="62">
        <f t="shared" si="88"/>
        <v>243.75878492878178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2.5645591189912906</v>
      </c>
      <c r="AA121" s="23">
        <f>EXP(-LN(2)/25)*AA120+(1-EXP(-LN(2)/25))/(LN(2)/25)*Calculateur!V121*Calculateur!X121*VLOOKUP('Données projet'!$B$9,Paramètres!$A$1:$I$89,3,0)*0.475*44/12</f>
        <v>0.68852961081178943</v>
      </c>
      <c r="AB121" s="23">
        <f>EXP(-LN(2)/2)*AB120+(1-EXP(-LN(2)/2))/(LN(2)/2)*V121*Y121*VLOOKUP('Données projet'!$B$9,Paramètres!$A$1:$I$89,3,0)*0.475*44/12</f>
        <v>3.3927684810863861E-11</v>
      </c>
      <c r="AC121" s="24">
        <f t="shared" si="57"/>
        <v>3.2530887298370077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251.35344000000003</v>
      </c>
      <c r="AK121" s="14">
        <f t="shared" si="89"/>
        <v>60.875668525285015</v>
      </c>
      <c r="AL121" s="22">
        <f t="shared" si="58"/>
        <v>543.79903068153806</v>
      </c>
      <c r="AM121" s="62">
        <f t="shared" si="59"/>
        <v>837.13236401487143</v>
      </c>
      <c r="AN121" s="62">
        <f ca="1">AVERAGE(OFFSET($AM$3,0,0,'Données projet'!$E$10+1,1))-AVERAGE(OFFSET($H$3,0,0,'Données projet'!$E$10+1,1))</f>
        <v>272.85581758101404</v>
      </c>
      <c r="AO121" s="62">
        <f t="shared" si="90"/>
        <v>180.73985910201225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1.0877036388198357E-12</v>
      </c>
      <c r="AX121" s="23">
        <f t="shared" si="60"/>
        <v>1.0877036388198357E-12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282.598842734946</v>
      </c>
      <c r="BJ121" s="62">
        <f t="shared" si="92"/>
        <v>335.56869428808034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2.1445175151575491</v>
      </c>
      <c r="BQ121" s="23">
        <f>EXP(-LN(2)/25)*BQ120+(1-EXP(-LN(2)/25))/(LN(2)/25)*Calculateur!BL121*Calculateur!BN121*VLOOKUP('Données projet'!$B$11,Paramètres!$A$1:$I$89,3,0)*0.475*44/12</f>
        <v>1.4087230808305073</v>
      </c>
      <c r="BR121" s="23">
        <f>EXP(-LN(2)/2)*BR120+(1-EXP(-LN(2)/2))/(LN(2)/2)*BL121*BO121*VLOOKUP('Données projet'!$B$11,Paramètres!$A$1:$I$89,3,0)*0.475*44/12</f>
        <v>3.6406492784963784E-12</v>
      </c>
      <c r="BS121" s="24">
        <f t="shared" si="63"/>
        <v>3.5532405959916971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450.25603733202803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314.1401276393035</v>
      </c>
      <c r="T122" s="62">
        <f t="shared" si="88"/>
        <v>243.75878492878178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2.5142696788944794</v>
      </c>
      <c r="AA122" s="23">
        <f>EXP(-LN(2)/25)*AA121+(1-EXP(-LN(2)/25))/(LN(2)/25)*Calculateur!V122*Calculateur!X122*VLOOKUP('Données projet'!$B$9,Paramètres!$A$1:$I$89,3,0)*0.475*44/12</f>
        <v>0.66970173239594244</v>
      </c>
      <c r="AB122" s="23">
        <f>EXP(-LN(2)/2)*AB121+(1-EXP(-LN(2)/2))/(LN(2)/2)*V122*Y122*VLOOKUP('Données projet'!$B$9,Paramètres!$A$1:$I$89,3,0)*0.475*44/12</f>
        <v>2.3990495999721665E-11</v>
      </c>
      <c r="AC122" s="24">
        <f t="shared" si="57"/>
        <v>3.1839714113144124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254.61072000000007</v>
      </c>
      <c r="AK122" s="14">
        <f t="shared" si="89"/>
        <v>61.572204587965729</v>
      </c>
      <c r="AL122" s="22">
        <f t="shared" si="58"/>
        <v>550.68526032404031</v>
      </c>
      <c r="AM122" s="62">
        <f t="shared" si="59"/>
        <v>844.01859365737369</v>
      </c>
      <c r="AN122" s="62">
        <f ca="1">AVERAGE(OFFSET($AM$3,0,0,'Données projet'!$E$10+1,1))-AVERAGE(OFFSET($H$3,0,0,'Données projet'!$E$10+1,1))</f>
        <v>272.85581758101404</v>
      </c>
      <c r="AO122" s="62">
        <f t="shared" si="90"/>
        <v>180.73985910201225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7.691226189307891E-13</v>
      </c>
      <c r="AX122" s="23">
        <f t="shared" si="60"/>
        <v>7.691226189307891E-13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282.598842734946</v>
      </c>
      <c r="BJ122" s="62">
        <f t="shared" si="92"/>
        <v>335.56869428808034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2.1024648347118369</v>
      </c>
      <c r="BQ122" s="23">
        <f>EXP(-LN(2)/25)*BQ121+(1-EXP(-LN(2)/25))/(LN(2)/25)*Calculateur!BL122*Calculateur!BN122*VLOOKUP('Données projet'!$B$11,Paramètres!$A$1:$I$89,3,0)*0.475*44/12</f>
        <v>1.3702014741036699</v>
      </c>
      <c r="BR122" s="23">
        <f>EXP(-LN(2)/2)*BR121+(1-EXP(-LN(2)/2))/(LN(2)/2)*BL122*BO122*VLOOKUP('Données projet'!$B$11,Paramètres!$A$1:$I$89,3,0)*0.475*44/12</f>
        <v>2.5743277927467007E-12</v>
      </c>
      <c r="BS122" s="24">
        <f t="shared" si="63"/>
        <v>3.4726663088180811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451.84197001585653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314.1401276393035</v>
      </c>
      <c r="T123" s="62">
        <f t="shared" si="88"/>
        <v>243.75878492878178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2.4649663840444371</v>
      </c>
      <c r="AA123" s="23">
        <f>EXP(-LN(2)/25)*AA122+(1-EXP(-LN(2)/25))/(LN(2)/25)*Calculateur!V123*Calculateur!X123*VLOOKUP('Données projet'!$B$9,Paramètres!$A$1:$I$89,3,0)*0.475*44/12</f>
        <v>0.65138870330549192</v>
      </c>
      <c r="AB123" s="23">
        <f>EXP(-LN(2)/2)*AB122+(1-EXP(-LN(2)/2))/(LN(2)/2)*V123*Y123*VLOOKUP('Données projet'!$B$9,Paramètres!$A$1:$I$89,3,0)*0.475*44/12</f>
        <v>1.6963842405431931E-11</v>
      </c>
      <c r="AC123" s="24">
        <f t="shared" si="57"/>
        <v>3.1163550873668928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257.86800000000011</v>
      </c>
      <c r="AK123" s="14">
        <f t="shared" si="89"/>
        <v>62.267704162827528</v>
      </c>
      <c r="AL123" s="22">
        <f t="shared" si="58"/>
        <v>557.56968475025815</v>
      </c>
      <c r="AM123" s="62">
        <f t="shared" si="59"/>
        <v>850.90301808359141</v>
      </c>
      <c r="AN123" s="62">
        <f ca="1">AVERAGE(OFFSET($AM$3,0,0,'Données projet'!$E$10+1,1))-AVERAGE(OFFSET($H$3,0,0,'Données projet'!$E$10+1,1))</f>
        <v>272.85581758101404</v>
      </c>
      <c r="AO123" s="62">
        <f t="shared" si="90"/>
        <v>180.73985910201225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5.4385181940991786E-13</v>
      </c>
      <c r="AX123" s="23">
        <f t="shared" si="60"/>
        <v>5.4385181940991786E-13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282.598842734946</v>
      </c>
      <c r="BJ123" s="62">
        <f t="shared" si="92"/>
        <v>335.56869428808034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2.0612367816800625</v>
      </c>
      <c r="BQ123" s="23">
        <f>EXP(-LN(2)/25)*BQ122+(1-EXP(-LN(2)/25))/(LN(2)/25)*Calculateur!BL123*Calculateur!BN123*VLOOKUP('Données projet'!$B$11,Paramètres!$A$1:$I$89,3,0)*0.475*44/12</f>
        <v>1.3327332427385412</v>
      </c>
      <c r="BR123" s="23">
        <f>EXP(-LN(2)/2)*BR122+(1-EXP(-LN(2)/2))/(LN(2)/2)*BL123*BO123*VLOOKUP('Données projet'!$B$11,Paramètres!$A$1:$I$89,3,0)*0.475*44/12</f>
        <v>1.8203246392481892E-12</v>
      </c>
      <c r="BS123" s="24">
        <f t="shared" si="63"/>
        <v>3.3939700244204238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453.42760316690999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314.1401276393035</v>
      </c>
      <c r="T124" s="62">
        <f t="shared" si="88"/>
        <v>243.75878492878178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2.4166298967343636</v>
      </c>
      <c r="AA124" s="23">
        <f>EXP(-LN(2)/25)*AA123+(1-EXP(-LN(2)/25))/(LN(2)/25)*Calculateur!V124*Calculateur!X124*VLOOKUP('Données projet'!$B$9,Paramètres!$A$1:$I$89,3,0)*0.475*44/12</f>
        <v>0.63357644495856014</v>
      </c>
      <c r="AB124" s="23">
        <f>EXP(-LN(2)/2)*AB123+(1-EXP(-LN(2)/2))/(LN(2)/2)*V124*Y124*VLOOKUP('Données projet'!$B$9,Paramètres!$A$1:$I$89,3,0)*0.475*44/12</f>
        <v>1.1995247999860832E-11</v>
      </c>
      <c r="AC124" s="24">
        <f t="shared" si="57"/>
        <v>3.0502063417049192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293.33333333333616</v>
      </c>
      <c r="AN124" s="62">
        <f ca="1">AVERAGE(OFFSET($AM$3,0,0,'Données projet'!$E$10+1,1))-AVERAGE(OFFSET($H$3,0,0,'Données projet'!$E$10+1,1))</f>
        <v>272.85581758101404</v>
      </c>
      <c r="AO124" s="62">
        <f t="shared" si="90"/>
        <v>180.73985910201225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3.8456130946539455E-13</v>
      </c>
      <c r="AX124" s="23">
        <f t="shared" si="60"/>
        <v>3.8456130946539455E-13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282.598842734946</v>
      </c>
      <c r="BJ124" s="62">
        <f t="shared" si="92"/>
        <v>335.56869428808034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2.0208171856216119</v>
      </c>
      <c r="BQ124" s="23">
        <f>EXP(-LN(2)/25)*BQ123+(1-EXP(-LN(2)/25))/(LN(2)/25)*Calculateur!BL124*Calculateur!BN124*VLOOKUP('Données projet'!$B$11,Paramètres!$A$1:$I$89,3,0)*0.475*44/12</f>
        <v>1.2962895821304605</v>
      </c>
      <c r="BR124" s="23">
        <f>EXP(-LN(2)/2)*BR123+(1-EXP(-LN(2)/2))/(LN(2)/2)*BL124*BO124*VLOOKUP('Données projet'!$B$11,Paramètres!$A$1:$I$89,3,0)*0.475*44/12</f>
        <v>1.2871638963733504E-12</v>
      </c>
      <c r="BS124" s="24">
        <f t="shared" si="63"/>
        <v>3.3171067677533594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455.01293954754578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314.1401276393035</v>
      </c>
      <c r="T125" s="62">
        <f t="shared" si="88"/>
        <v>243.75878492878178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2.3692412584580946</v>
      </c>
      <c r="AA125" s="23">
        <f>EXP(-LN(2)/25)*AA124+(1-EXP(-LN(2)/25))/(LN(2)/25)*Calculateur!V125*Calculateur!X125*VLOOKUP('Données projet'!$B$9,Paramètres!$A$1:$I$89,3,0)*0.475*44/12</f>
        <v>0.61625126375283112</v>
      </c>
      <c r="AB125" s="23">
        <f>EXP(-LN(2)/2)*AB124+(1-EXP(-LN(2)/2))/(LN(2)/2)*V125*Y125*VLOOKUP('Données projet'!$B$9,Paramètres!$A$1:$I$89,3,0)*0.475*44/12</f>
        <v>8.4819212027159653E-12</v>
      </c>
      <c r="AC125" s="24">
        <f t="shared" si="57"/>
        <v>2.985492522219408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293.33333333333616</v>
      </c>
      <c r="AN125" s="62">
        <f ca="1">AVERAGE(OFFSET($AM$3,0,0,'Données projet'!$E$10+1,1))-AVERAGE(OFFSET($H$3,0,0,'Données projet'!$E$10+1,1))</f>
        <v>272.85581758101404</v>
      </c>
      <c r="AO125" s="62">
        <f t="shared" si="90"/>
        <v>180.73985910201225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2.7192590970495893E-13</v>
      </c>
      <c r="AX125" s="23">
        <f t="shared" si="60"/>
        <v>2.7192590970495893E-13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282.598842734946</v>
      </c>
      <c r="BJ125" s="62">
        <f t="shared" si="92"/>
        <v>335.56869428808034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1.9811901931883484</v>
      </c>
      <c r="BQ125" s="23">
        <f>EXP(-LN(2)/25)*BQ124+(1-EXP(-LN(2)/25))/(LN(2)/25)*Calculateur!BL125*Calculateur!BN125*VLOOKUP('Données projet'!$B$11,Paramètres!$A$1:$I$89,3,0)*0.475*44/12</f>
        <v>1.2608424753381966</v>
      </c>
      <c r="BR125" s="23">
        <f>EXP(-LN(2)/2)*BR124+(1-EXP(-LN(2)/2))/(LN(2)/2)*BL125*BO125*VLOOKUP('Données projet'!$B$11,Paramètres!$A$1:$I$89,3,0)*0.475*44/12</f>
        <v>9.1016231962409459E-13</v>
      </c>
      <c r="BS125" s="24">
        <f t="shared" si="63"/>
        <v>3.2420326685274556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456.59798187222225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314.1401276393035</v>
      </c>
      <c r="T126" s="62">
        <f t="shared" si="88"/>
        <v>243.75878492878178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2.3227818824742079</v>
      </c>
      <c r="AA126" s="23">
        <f>EXP(-LN(2)/25)*AA125+(1-EXP(-LN(2)/25))/(LN(2)/25)*Calculateur!V126*Calculateur!X126*VLOOKUP('Données projet'!$B$9,Paramètres!$A$1:$I$89,3,0)*0.475*44/12</f>
        <v>0.59939984053826445</v>
      </c>
      <c r="AB126" s="23">
        <f>EXP(-LN(2)/2)*AB125+(1-EXP(-LN(2)/2))/(LN(2)/2)*V126*Y126*VLOOKUP('Données projet'!$B$9,Paramètres!$A$1:$I$89,3,0)*0.475*44/12</f>
        <v>5.9976239999304162E-12</v>
      </c>
      <c r="AC126" s="24">
        <f t="shared" si="57"/>
        <v>2.9221817230184697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293.33333333333616</v>
      </c>
      <c r="AN126" s="62">
        <f ca="1">AVERAGE(OFFSET($AM$3,0,0,'Données projet'!$E$10+1,1))-AVERAGE(OFFSET($H$3,0,0,'Données projet'!$E$10+1,1))</f>
        <v>272.85581758101404</v>
      </c>
      <c r="AO126" s="62">
        <f t="shared" si="90"/>
        <v>180.73985910201225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1.9228065473269728E-13</v>
      </c>
      <c r="AX126" s="23">
        <f t="shared" si="60"/>
        <v>1.9228065473269728E-13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282.598842734946</v>
      </c>
      <c r="BJ126" s="62">
        <f t="shared" si="92"/>
        <v>335.56869428808034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1.9423402619066226</v>
      </c>
      <c r="BQ126" s="23">
        <f>EXP(-LN(2)/25)*BQ125+(1-EXP(-LN(2)/25))/(LN(2)/25)*Calculateur!BL126*Calculateur!BN126*VLOOKUP('Données projet'!$B$11,Paramètres!$A$1:$I$89,3,0)*0.475*44/12</f>
        <v>1.2263646715452496</v>
      </c>
      <c r="BR126" s="23">
        <f>EXP(-LN(2)/2)*BR125+(1-EXP(-LN(2)/2))/(LN(2)/2)*BL126*BO126*VLOOKUP('Données projet'!$B$11,Paramètres!$A$1:$I$89,3,0)*0.475*44/12</f>
        <v>6.4358194818667518E-13</v>
      </c>
      <c r="BS126" s="24">
        <f t="shared" si="63"/>
        <v>3.1687049334525157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458.18273280871216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314.1401276393035</v>
      </c>
      <c r="T127" s="62">
        <f t="shared" si="88"/>
        <v>243.75878492878178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2.2772335465159439</v>
      </c>
      <c r="AA127" s="23">
        <f>EXP(-LN(2)/25)*AA126+(1-EXP(-LN(2)/25))/(LN(2)/25)*Calculateur!V127*Calculateur!X127*VLOOKUP('Données projet'!$B$9,Paramètres!$A$1:$I$89,3,0)*0.475*44/12</f>
        <v>0.58300922037767799</v>
      </c>
      <c r="AB127" s="23">
        <f>EXP(-LN(2)/2)*AB126+(1-EXP(-LN(2)/2))/(LN(2)/2)*V127*Y127*VLOOKUP('Données projet'!$B$9,Paramètres!$A$1:$I$89,3,0)*0.475*44/12</f>
        <v>4.2409606013579827E-12</v>
      </c>
      <c r="AC127" s="24">
        <f t="shared" si="57"/>
        <v>2.8602427668978629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293.33333333333616</v>
      </c>
      <c r="AN127" s="62">
        <f ca="1">AVERAGE(OFFSET($AM$3,0,0,'Données projet'!$E$10+1,1))-AVERAGE(OFFSET($H$3,0,0,'Données projet'!$E$10+1,1))</f>
        <v>272.85581758101404</v>
      </c>
      <c r="AO127" s="62">
        <f t="shared" si="90"/>
        <v>180.73985910201225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1.3596295485247946E-13</v>
      </c>
      <c r="AX127" s="23">
        <f t="shared" si="60"/>
        <v>1.3596295485247946E-13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282.598842734946</v>
      </c>
      <c r="BJ127" s="62">
        <f t="shared" si="92"/>
        <v>335.56869428808034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1.904252154081213</v>
      </c>
      <c r="BQ127" s="23">
        <f>EXP(-LN(2)/25)*BQ126+(1-EXP(-LN(2)/25))/(LN(2)/25)*Calculateur!BL127*Calculateur!BN127*VLOOKUP('Données projet'!$B$11,Paramètres!$A$1:$I$89,3,0)*0.475*44/12</f>
        <v>1.1928296651101296</v>
      </c>
      <c r="BR127" s="23">
        <f>EXP(-LN(2)/2)*BR126+(1-EXP(-LN(2)/2))/(LN(2)/2)*BL127*BO127*VLOOKUP('Données projet'!$B$11,Paramètres!$A$1:$I$89,3,0)*0.475*44/12</f>
        <v>4.550811598120473E-13</v>
      </c>
      <c r="BS127" s="24">
        <f t="shared" si="63"/>
        <v>3.0970818191917977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459.7671949792753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314.1401276393035</v>
      </c>
      <c r="T128" s="62">
        <f t="shared" si="88"/>
        <v>243.75878492878178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2.2325783856440795</v>
      </c>
      <c r="AA128" s="23">
        <f>EXP(-LN(2)/25)*AA127+(1-EXP(-LN(2)/25))/(LN(2)/25)*Calculateur!V128*Calculateur!X128*VLOOKUP('Données projet'!$B$9,Paramètres!$A$1:$I$89,3,0)*0.475*44/12</f>
        <v>0.567066802587328</v>
      </c>
      <c r="AB128" s="23">
        <f>EXP(-LN(2)/2)*AB127+(1-EXP(-LN(2)/2))/(LN(2)/2)*V128*Y128*VLOOKUP('Données projet'!$B$9,Paramètres!$A$1:$I$89,3,0)*0.475*44/12</f>
        <v>2.9988119999652081E-12</v>
      </c>
      <c r="AC128" s="24">
        <f t="shared" si="57"/>
        <v>2.7996451882344062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293.33333333333616</v>
      </c>
      <c r="AN128" s="62">
        <f ca="1">AVERAGE(OFFSET($AM$3,0,0,'Données projet'!$E$10+1,1))-AVERAGE(OFFSET($H$3,0,0,'Données projet'!$E$10+1,1))</f>
        <v>272.85581758101404</v>
      </c>
      <c r="AO128" s="62">
        <f t="shared" si="90"/>
        <v>180.73985910201225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9.6140327366348638E-14</v>
      </c>
      <c r="AX128" s="23">
        <f t="shared" si="60"/>
        <v>9.6140327366348638E-14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282.598842734946</v>
      </c>
      <c r="BJ128" s="62">
        <f t="shared" si="92"/>
        <v>335.56869428808034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1.8669109308188079</v>
      </c>
      <c r="BQ128" s="23">
        <f>EXP(-LN(2)/25)*BQ127+(1-EXP(-LN(2)/25))/(LN(2)/25)*Calculateur!BL128*Calculateur!BN128*VLOOKUP('Données projet'!$B$11,Paramètres!$A$1:$I$89,3,0)*0.475*44/12</f>
        <v>1.1602116751895073</v>
      </c>
      <c r="BR128" s="23">
        <f>EXP(-LN(2)/2)*BR127+(1-EXP(-LN(2)/2))/(LN(2)/2)*BL128*BO128*VLOOKUP('Données projet'!$B$11,Paramètres!$A$1:$I$89,3,0)*0.475*44/12</f>
        <v>3.2179097409333759E-13</v>
      </c>
      <c r="BS128" s="24">
        <f t="shared" si="63"/>
        <v>3.0271226060086369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461.35137096179267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314.1401276393035</v>
      </c>
      <c r="T129" s="62">
        <f t="shared" si="88"/>
        <v>243.75878492878178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2.188798885239954</v>
      </c>
      <c r="AA129" s="23">
        <f>EXP(-LN(2)/25)*AA128+(1-EXP(-LN(2)/25))/(LN(2)/25)*Calculateur!V129*Calculateur!X129*VLOOKUP('Données projet'!$B$9,Paramètres!$A$1:$I$89,3,0)*0.475*44/12</f>
        <v>0.55156033104983038</v>
      </c>
      <c r="AB129" s="23">
        <f>EXP(-LN(2)/2)*AB128+(1-EXP(-LN(2)/2))/(LN(2)/2)*V129*Y129*VLOOKUP('Données projet'!$B$9,Paramètres!$A$1:$I$89,3,0)*0.475*44/12</f>
        <v>2.1204803006789913E-12</v>
      </c>
      <c r="AC129" s="24">
        <f t="shared" si="57"/>
        <v>2.740359216291905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293.33333333333616</v>
      </c>
      <c r="AN129" s="62">
        <f ca="1">AVERAGE(OFFSET($AM$3,0,0,'Données projet'!$E$10+1,1))-AVERAGE(OFFSET($H$3,0,0,'Données projet'!$E$10+1,1))</f>
        <v>272.85581758101404</v>
      </c>
      <c r="AO129" s="62">
        <f t="shared" si="90"/>
        <v>180.73985910201225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6.7981477426239732E-14</v>
      </c>
      <c r="AX129" s="23">
        <f t="shared" si="60"/>
        <v>6.7981477426239732E-14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282.598842734946</v>
      </c>
      <c r="BJ129" s="62">
        <f t="shared" si="92"/>
        <v>335.56869428808034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1.8303019461686814</v>
      </c>
      <c r="BQ129" s="23">
        <f>EXP(-LN(2)/25)*BQ128+(1-EXP(-LN(2)/25))/(LN(2)/25)*Calculateur!BL129*Calculateur!BN129*VLOOKUP('Données projet'!$B$11,Paramètres!$A$1:$I$89,3,0)*0.475*44/12</f>
        <v>1.1284856259185698</v>
      </c>
      <c r="BR129" s="23">
        <f>EXP(-LN(2)/2)*BR128+(1-EXP(-LN(2)/2))/(LN(2)/2)*BL129*BO129*VLOOKUP('Données projet'!$B$11,Paramètres!$A$1:$I$89,3,0)*0.475*44/12</f>
        <v>2.2754057990602365E-13</v>
      </c>
      <c r="BS129" s="24">
        <f t="shared" si="63"/>
        <v>2.9587875720874788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462.93526329086365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314.1401276393035</v>
      </c>
      <c r="T130" s="62">
        <f t="shared" si="88"/>
        <v>243.75878492878178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2.1458778741358948</v>
      </c>
      <c r="AA130" s="23">
        <f>EXP(-LN(2)/25)*AA129+(1-EXP(-LN(2)/25))/(LN(2)/25)*Calculateur!V130*Calculateur!X130*VLOOKUP('Données projet'!$B$9,Paramètres!$A$1:$I$89,3,0)*0.475*44/12</f>
        <v>0.53647788479197556</v>
      </c>
      <c r="AB130" s="23">
        <f>EXP(-LN(2)/2)*AB129+(1-EXP(-LN(2)/2))/(LN(2)/2)*V130*Y130*VLOOKUP('Données projet'!$B$9,Paramètres!$A$1:$I$89,3,0)*0.475*44/12</f>
        <v>1.499405999982604E-12</v>
      </c>
      <c r="AC130" s="24">
        <f t="shared" si="57"/>
        <v>2.6823557589293694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293.33333333333616</v>
      </c>
      <c r="AN130" s="62">
        <f ca="1">AVERAGE(OFFSET($AM$3,0,0,'Données projet'!$E$10+1,1))-AVERAGE(OFFSET($H$3,0,0,'Données projet'!$E$10+1,1))</f>
        <v>272.85581758101404</v>
      </c>
      <c r="AO130" s="62">
        <f t="shared" si="90"/>
        <v>180.73985910201225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4.8070163683174319E-14</v>
      </c>
      <c r="AX130" s="23">
        <f t="shared" si="60"/>
        <v>4.8070163683174319E-14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282.598842734946</v>
      </c>
      <c r="BJ130" s="62">
        <f t="shared" si="92"/>
        <v>335.56869428808034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1.794410841378268</v>
      </c>
      <c r="BQ130" s="23">
        <f>EXP(-LN(2)/25)*BQ129+(1-EXP(-LN(2)/25))/(LN(2)/25)*Calculateur!BL130*Calculateur!BN130*VLOOKUP('Données projet'!$B$11,Paramètres!$A$1:$I$89,3,0)*0.475*44/12</f>
        <v>1.0976271271333466</v>
      </c>
      <c r="BR130" s="23">
        <f>EXP(-LN(2)/2)*BR129+(1-EXP(-LN(2)/2))/(LN(2)/2)*BL130*BO130*VLOOKUP('Données projet'!$B$11,Paramètres!$A$1:$I$89,3,0)*0.475*44/12</f>
        <v>1.608954870466688E-13</v>
      </c>
      <c r="BS130" s="24">
        <f t="shared" si="63"/>
        <v>2.8920379685117754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464.5188744588678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314.1401276393035</v>
      </c>
      <c r="T131" s="62">
        <f t="shared" si="88"/>
        <v>243.75878492878178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2.1037985178803544</v>
      </c>
      <c r="AA131" s="23">
        <f>EXP(-LN(2)/25)*AA130+(1-EXP(-LN(2)/25))/(LN(2)/25)*Calculateur!V131*Calculateur!X131*VLOOKUP('Données projet'!$B$9,Paramètres!$A$1:$I$89,3,0)*0.475*44/12</f>
        <v>0.52180786882019314</v>
      </c>
      <c r="AB131" s="23">
        <f>EXP(-LN(2)/2)*AB130+(1-EXP(-LN(2)/2))/(LN(2)/2)*V131*Y131*VLOOKUP('Données projet'!$B$9,Paramètres!$A$1:$I$89,3,0)*0.475*44/12</f>
        <v>1.0602401503394957E-12</v>
      </c>
      <c r="AC131" s="24">
        <f t="shared" si="57"/>
        <v>2.6256063867016075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293.33333333333616</v>
      </c>
      <c r="AN131" s="62">
        <f ca="1">AVERAGE(OFFSET($AM$3,0,0,'Données projet'!$E$10+1,1))-AVERAGE(OFFSET($H$3,0,0,'Données projet'!$E$10+1,1))</f>
        <v>272.85581758101404</v>
      </c>
      <c r="AO131" s="62">
        <f t="shared" si="90"/>
        <v>180.73985910201225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3.3990738713119866E-14</v>
      </c>
      <c r="AX131" s="23">
        <f t="shared" si="60"/>
        <v>3.3990738713119866E-14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282.598842734946</v>
      </c>
      <c r="BJ131" s="62">
        <f t="shared" si="92"/>
        <v>335.56869428808034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1.7592235392613822</v>
      </c>
      <c r="BQ131" s="23">
        <f>EXP(-LN(2)/25)*BQ130+(1-EXP(-LN(2)/25))/(LN(2)/25)*Calculateur!BL131*Calculateur!BN131*VLOOKUP('Données projet'!$B$11,Paramètres!$A$1:$I$89,3,0)*0.475*44/12</f>
        <v>1.0676124556201834</v>
      </c>
      <c r="BR131" s="23">
        <f>EXP(-LN(2)/2)*BR130+(1-EXP(-LN(2)/2))/(LN(2)/2)*BL131*BO131*VLOOKUP('Données projet'!$B$11,Paramètres!$A$1:$I$89,3,0)*0.475*44/12</f>
        <v>1.1377028995301182E-13</v>
      </c>
      <c r="BS131" s="24">
        <f t="shared" si="63"/>
        <v>2.8268359948816792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466.1022069169922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314.1401276393035</v>
      </c>
      <c r="T132" s="62">
        <f t="shared" si="88"/>
        <v>243.75878492878178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2.0625443121351119</v>
      </c>
      <c r="AA132" s="23">
        <f>EXP(-LN(2)/25)*AA131+(1-EXP(-LN(2)/25))/(LN(2)/25)*Calculateur!V132*Calculateur!X132*VLOOKUP('Données projet'!$B$9,Paramètres!$A$1:$I$89,3,0)*0.475*44/12</f>
        <v>0.50753900520662176</v>
      </c>
      <c r="AB132" s="23">
        <f>EXP(-LN(2)/2)*AB131+(1-EXP(-LN(2)/2))/(LN(2)/2)*V132*Y132*VLOOKUP('Données projet'!$B$9,Paramètres!$A$1:$I$89,3,0)*0.475*44/12</f>
        <v>7.4970299999130202E-13</v>
      </c>
      <c r="AC132" s="24">
        <f t="shared" ref="AC132:AC153" si="111">SUM(Z132:AB132)</f>
        <v>2.5700833173424833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293.33333333333616</v>
      </c>
      <c r="AN132" s="62">
        <f ca="1">AVERAGE(OFFSET($AM$3,0,0,'Données projet'!$E$10+1,1))-AVERAGE(OFFSET($H$3,0,0,'Données projet'!$E$10+1,1))</f>
        <v>272.85581758101404</v>
      </c>
      <c r="AO132" s="62">
        <f t="shared" si="90"/>
        <v>180.73985910201225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2.4035081841587159E-14</v>
      </c>
      <c r="AX132" s="23">
        <f t="shared" ref="AX132:AX153" si="114">SUM(AU132:AW132)</f>
        <v>2.4035081841587159E-14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282.598842734946</v>
      </c>
      <c r="BJ132" s="62">
        <f t="shared" si="92"/>
        <v>335.56869428808034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1.7247262386768736</v>
      </c>
      <c r="BQ132" s="23">
        <f>EXP(-LN(2)/25)*BQ131+(1-EXP(-LN(2)/25))/(LN(2)/25)*Calculateur!BL132*Calculateur!BN132*VLOOKUP('Données projet'!$B$11,Paramètres!$A$1:$I$89,3,0)*0.475*44/12</f>
        <v>1.0384185368779504</v>
      </c>
      <c r="BR132" s="23">
        <f>EXP(-LN(2)/2)*BR131+(1-EXP(-LN(2)/2))/(LN(2)/2)*BL132*BO132*VLOOKUP('Données projet'!$B$11,Paramètres!$A$1:$I$89,3,0)*0.475*44/12</f>
        <v>8.0447743523334398E-14</v>
      </c>
      <c r="BS132" s="24">
        <f t="shared" ref="BS132:BS153" si="117">SUM(BP132:BR132)</f>
        <v>2.7631447755549043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467.68526307622614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314.1401276393035</v>
      </c>
      <c r="T133" s="62">
        <f t="shared" ref="T133:T196" si="142">$T$3</f>
        <v>243.75878492878178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2.0220990762019531</v>
      </c>
      <c r="AA133" s="23">
        <f>EXP(-LN(2)/25)*AA132+(1-EXP(-LN(2)/25))/(LN(2)/25)*Calculateur!V133*Calculateur!X133*VLOOKUP('Données projet'!$B$9,Paramètres!$A$1:$I$89,3,0)*0.475*44/12</f>
        <v>0.49366032441893043</v>
      </c>
      <c r="AB133" s="23">
        <f>EXP(-LN(2)/2)*AB132+(1-EXP(-LN(2)/2))/(LN(2)/2)*V133*Y133*VLOOKUP('Données projet'!$B$9,Paramètres!$A$1:$I$89,3,0)*0.475*44/12</f>
        <v>5.3012007516974783E-13</v>
      </c>
      <c r="AC133" s="24">
        <f t="shared" si="111"/>
        <v>2.5157594006214139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293.33333333333616</v>
      </c>
      <c r="AN133" s="62">
        <f ca="1">AVERAGE(OFFSET($AM$3,0,0,'Données projet'!$E$10+1,1))-AVERAGE(OFFSET($H$3,0,0,'Données projet'!$E$10+1,1))</f>
        <v>272.85581758101404</v>
      </c>
      <c r="AO133" s="62">
        <f t="shared" ref="AO133:AO196" si="144">$AO$3</f>
        <v>180.73985910201225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1.6995369356559933E-14</v>
      </c>
      <c r="AX133" s="23">
        <f t="shared" si="114"/>
        <v>1.6995369356559933E-14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282.598842734946</v>
      </c>
      <c r="BJ133" s="62">
        <f t="shared" ref="BJ133:BJ196" si="146">$BJ$3</f>
        <v>335.56869428808034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1.6909054091155513</v>
      </c>
      <c r="BQ133" s="23">
        <f>EXP(-LN(2)/25)*BQ132+(1-EXP(-LN(2)/25))/(LN(2)/25)*Calculateur!BL133*Calculateur!BN133*VLOOKUP('Données projet'!$B$11,Paramètres!$A$1:$I$89,3,0)*0.475*44/12</f>
        <v>1.0100229273789654</v>
      </c>
      <c r="BR133" s="23">
        <f>EXP(-LN(2)/2)*BR132+(1-EXP(-LN(2)/2))/(LN(2)/2)*BL133*BO133*VLOOKUP('Données projet'!$B$11,Paramètres!$A$1:$I$89,3,0)*0.475*44/12</f>
        <v>5.6885144976505912E-14</v>
      </c>
      <c r="BS133" s="24">
        <f t="shared" si="117"/>
        <v>2.7009283364945738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469.26804530832442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314.1401276393035</v>
      </c>
      <c r="T134" s="62">
        <f t="shared" si="142"/>
        <v>243.75878492878178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1.9824469466762853</v>
      </c>
      <c r="AA134" s="23">
        <f>EXP(-LN(2)/25)*AA133+(1-EXP(-LN(2)/25))/(LN(2)/25)*Calculateur!V134*Calculateur!X134*VLOOKUP('Données projet'!$B$9,Paramètres!$A$1:$I$89,3,0)*0.475*44/12</f>
        <v>0.4801611568872266</v>
      </c>
      <c r="AB134" s="23">
        <f>EXP(-LN(2)/2)*AB133+(1-EXP(-LN(2)/2))/(LN(2)/2)*V134*Y134*VLOOKUP('Données projet'!$B$9,Paramètres!$A$1:$I$89,3,0)*0.475*44/12</f>
        <v>3.7485149999565101E-13</v>
      </c>
      <c r="AC134" s="24">
        <f t="shared" si="111"/>
        <v>2.4626081035638867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293.33333333333616</v>
      </c>
      <c r="AN134" s="62">
        <f ca="1">AVERAGE(OFFSET($AM$3,0,0,'Données projet'!$E$10+1,1))-AVERAGE(OFFSET($H$3,0,0,'Données projet'!$E$10+1,1))</f>
        <v>272.85581758101404</v>
      </c>
      <c r="AO134" s="62">
        <f t="shared" si="144"/>
        <v>180.73985910201225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1.201754092079358E-14</v>
      </c>
      <c r="AX134" s="23">
        <f t="shared" si="114"/>
        <v>1.201754092079358E-14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282.598842734946</v>
      </c>
      <c r="BJ134" s="62">
        <f t="shared" si="146"/>
        <v>335.56869428808034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1.6577477853932576</v>
      </c>
      <c r="BQ134" s="23">
        <f>EXP(-LN(2)/25)*BQ133+(1-EXP(-LN(2)/25))/(LN(2)/25)*Calculateur!BL134*Calculateur!BN134*VLOOKUP('Données projet'!$B$11,Paramètres!$A$1:$I$89,3,0)*0.475*44/12</f>
        <v>0.98240379731499028</v>
      </c>
      <c r="BR134" s="23">
        <f>EXP(-LN(2)/2)*BR133+(1-EXP(-LN(2)/2))/(LN(2)/2)*BL134*BO134*VLOOKUP('Données projet'!$B$11,Paramètres!$A$1:$I$89,3,0)*0.475*44/12</f>
        <v>4.0223871761667199E-14</v>
      </c>
      <c r="BS134" s="24">
        <f t="shared" si="117"/>
        <v>2.6401515827082882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470.85055594674054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314.1401276393035</v>
      </c>
      <c r="T135" s="62">
        <f t="shared" si="142"/>
        <v>243.75878492878178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1.9435723712252049</v>
      </c>
      <c r="AA135" s="23">
        <f>EXP(-LN(2)/25)*AA134+(1-EXP(-LN(2)/25))/(LN(2)/25)*Calculateur!V135*Calculateur!X135*VLOOKUP('Données projet'!$B$9,Paramètres!$A$1:$I$89,3,0)*0.475*44/12</f>
        <v>0.46703112480156755</v>
      </c>
      <c r="AB135" s="23">
        <f>EXP(-LN(2)/2)*AB134+(1-EXP(-LN(2)/2))/(LN(2)/2)*V135*Y135*VLOOKUP('Données projet'!$B$9,Paramètres!$A$1:$I$89,3,0)*0.475*44/12</f>
        <v>2.6506003758487392E-13</v>
      </c>
      <c r="AC135" s="24">
        <f t="shared" si="111"/>
        <v>2.4106034960270377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293.33333333333616</v>
      </c>
      <c r="AN135" s="62">
        <f ca="1">AVERAGE(OFFSET($AM$3,0,0,'Données projet'!$E$10+1,1))-AVERAGE(OFFSET($H$3,0,0,'Données projet'!$E$10+1,1))</f>
        <v>272.85581758101404</v>
      </c>
      <c r="AO135" s="62">
        <f t="shared" si="144"/>
        <v>180.73985910201225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8.4976846782799665E-15</v>
      </c>
      <c r="AX135" s="23">
        <f t="shared" si="114"/>
        <v>8.4976846782799665E-15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282.598842734946</v>
      </c>
      <c r="BJ135" s="62">
        <f t="shared" si="146"/>
        <v>335.56869428808034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1.6252403624480045</v>
      </c>
      <c r="BQ135" s="23">
        <f>EXP(-LN(2)/25)*BQ134+(1-EXP(-LN(2)/25))/(LN(2)/25)*Calculateur!BL135*Calculateur!BN135*VLOOKUP('Données projet'!$B$11,Paramètres!$A$1:$I$89,3,0)*0.475*44/12</f>
        <v>0.95553991381504144</v>
      </c>
      <c r="BR135" s="23">
        <f>EXP(-LN(2)/2)*BR134+(1-EXP(-LN(2)/2))/(LN(2)/2)*BL135*BO135*VLOOKUP('Données projet'!$B$11,Paramètres!$A$1:$I$89,3,0)*0.475*44/12</f>
        <v>2.8442572488252956E-14</v>
      </c>
      <c r="BS135" s="24">
        <f t="shared" si="117"/>
        <v>2.5807802762630745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472.43279728753004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314.1401276393035</v>
      </c>
      <c r="T136" s="62">
        <f t="shared" si="142"/>
        <v>243.75878492878178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1.9054601024875704</v>
      </c>
      <c r="AA136" s="23">
        <f>EXP(-LN(2)/25)*AA135+(1-EXP(-LN(2)/25))/(LN(2)/25)*Calculateur!V136*Calculateur!X136*VLOOKUP('Données projet'!$B$9,Paramètres!$A$1:$I$89,3,0)*0.475*44/12</f>
        <v>0.45426013413376926</v>
      </c>
      <c r="AB136" s="23">
        <f>EXP(-LN(2)/2)*AB135+(1-EXP(-LN(2)/2))/(LN(2)/2)*V136*Y136*VLOOKUP('Données projet'!$B$9,Paramètres!$A$1:$I$89,3,0)*0.475*44/12</f>
        <v>1.8742574999782551E-13</v>
      </c>
      <c r="AC136" s="24">
        <f t="shared" si="111"/>
        <v>2.3597202366215271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293.33333333333616</v>
      </c>
      <c r="AN136" s="62">
        <f ca="1">AVERAGE(OFFSET($AM$3,0,0,'Données projet'!$E$10+1,1))-AVERAGE(OFFSET($H$3,0,0,'Données projet'!$E$10+1,1))</f>
        <v>272.85581758101404</v>
      </c>
      <c r="AO136" s="62">
        <f t="shared" si="144"/>
        <v>180.73985910201225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6.0087704603967899E-15</v>
      </c>
      <c r="AX136" s="23">
        <f t="shared" si="114"/>
        <v>6.0087704603967899E-15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282.598842734946</v>
      </c>
      <c r="BJ136" s="62">
        <f t="shared" si="146"/>
        <v>335.56869428808034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1.5933703902391376</v>
      </c>
      <c r="BQ136" s="23">
        <f>EXP(-LN(2)/25)*BQ135+(1-EXP(-LN(2)/25))/(LN(2)/25)*Calculateur!BL136*Calculateur!BN136*VLOOKUP('Données projet'!$B$11,Paramètres!$A$1:$I$89,3,0)*0.475*44/12</f>
        <v>0.92941062462210899</v>
      </c>
      <c r="BR136" s="23">
        <f>EXP(-LN(2)/2)*BR135+(1-EXP(-LN(2)/2))/(LN(2)/2)*BL136*BO136*VLOOKUP('Données projet'!$B$11,Paramètres!$A$1:$I$89,3,0)*0.475*44/12</f>
        <v>2.01119358808336E-14</v>
      </c>
      <c r="BS136" s="24">
        <f t="shared" si="117"/>
        <v>2.5227810148612666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474.01477159022704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314.1401276393035</v>
      </c>
      <c r="T137" s="62">
        <f t="shared" si="142"/>
        <v>243.75878492878178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1.8680951920936923</v>
      </c>
      <c r="AA137" s="23">
        <f>EXP(-LN(2)/25)*AA136+(1-EXP(-LN(2)/25))/(LN(2)/25)*Calculateur!V137*Calculateur!X137*VLOOKUP('Données projet'!$B$9,Paramètres!$A$1:$I$89,3,0)*0.475*44/12</f>
        <v>0.4418383668773791</v>
      </c>
      <c r="AB137" s="23">
        <f>EXP(-LN(2)/2)*AB136+(1-EXP(-LN(2)/2))/(LN(2)/2)*V137*Y137*VLOOKUP('Données projet'!$B$9,Paramètres!$A$1:$I$89,3,0)*0.475*44/12</f>
        <v>1.3253001879243696E-13</v>
      </c>
      <c r="AC137" s="24">
        <f t="shared" si="111"/>
        <v>2.3099335589712036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293.33333333333616</v>
      </c>
      <c r="AN137" s="62">
        <f ca="1">AVERAGE(OFFSET($AM$3,0,0,'Données projet'!$E$10+1,1))-AVERAGE(OFFSET($H$3,0,0,'Données projet'!$E$10+1,1))</f>
        <v>272.85581758101404</v>
      </c>
      <c r="AO137" s="62">
        <f t="shared" si="144"/>
        <v>180.73985910201225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4.2488423391399833E-15</v>
      </c>
      <c r="AX137" s="23">
        <f t="shared" si="114"/>
        <v>4.2488423391399833E-15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282.598842734946</v>
      </c>
      <c r="BJ137" s="62">
        <f t="shared" si="146"/>
        <v>335.56869428808034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1.5621253687465231</v>
      </c>
      <c r="BQ137" s="23">
        <f>EXP(-LN(2)/25)*BQ136+(1-EXP(-LN(2)/25))/(LN(2)/25)*Calculateur!BL137*Calculateur!BN137*VLOOKUP('Données projet'!$B$11,Paramètres!$A$1:$I$89,3,0)*0.475*44/12</f>
        <v>0.90399584221623686</v>
      </c>
      <c r="BR137" s="23">
        <f>EXP(-LN(2)/2)*BR136+(1-EXP(-LN(2)/2))/(LN(2)/2)*BL137*BO137*VLOOKUP('Données projet'!$B$11,Paramètres!$A$1:$I$89,3,0)*0.475*44/12</f>
        <v>1.4221286244126478E-14</v>
      </c>
      <c r="BS137" s="24">
        <f t="shared" si="117"/>
        <v>2.4661212109627741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475.59648107869305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314.1401276393035</v>
      </c>
      <c r="T138" s="62">
        <f t="shared" si="142"/>
        <v>243.75878492878178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1.8314629848022932</v>
      </c>
      <c r="AA138" s="23">
        <f>EXP(-LN(2)/25)*AA137+(1-EXP(-LN(2)/25))/(LN(2)/25)*Calculateur!V138*Calculateur!X138*VLOOKUP('Données projet'!$B$9,Paramètres!$A$1:$I$89,3,0)*0.475*44/12</f>
        <v>0.4297562734998473</v>
      </c>
      <c r="AB138" s="23">
        <f>EXP(-LN(2)/2)*AB137+(1-EXP(-LN(2)/2))/(LN(2)/2)*V138*Y138*VLOOKUP('Données projet'!$B$9,Paramètres!$A$1:$I$89,3,0)*0.475*44/12</f>
        <v>9.3712874998912753E-14</v>
      </c>
      <c r="AC138" s="24">
        <f t="shared" si="111"/>
        <v>2.2612192583022344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293.33333333333616</v>
      </c>
      <c r="AN138" s="62">
        <f ca="1">AVERAGE(OFFSET($AM$3,0,0,'Données projet'!$E$10+1,1))-AVERAGE(OFFSET($H$3,0,0,'Données projet'!$E$10+1,1))</f>
        <v>272.85581758101404</v>
      </c>
      <c r="AO138" s="62">
        <f t="shared" si="144"/>
        <v>180.73985910201225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3.0043852301983949E-15</v>
      </c>
      <c r="AX138" s="23">
        <f t="shared" si="114"/>
        <v>3.0043852301983949E-15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282.598842734946</v>
      </c>
      <c r="BJ138" s="62">
        <f t="shared" si="146"/>
        <v>335.56869428808034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1.5314930430677973</v>
      </c>
      <c r="BQ138" s="23">
        <f>EXP(-LN(2)/25)*BQ137+(1-EXP(-LN(2)/25))/(LN(2)/25)*Calculateur!BL138*Calculateur!BN138*VLOOKUP('Données projet'!$B$11,Paramètres!$A$1:$I$89,3,0)*0.475*44/12</f>
        <v>0.87927602837175867</v>
      </c>
      <c r="BR138" s="23">
        <f>EXP(-LN(2)/2)*BR137+(1-EXP(-LN(2)/2))/(LN(2)/2)*BL138*BO138*VLOOKUP('Données projet'!$B$11,Paramètres!$A$1:$I$89,3,0)*0.475*44/12</f>
        <v>1.00559679404168E-14</v>
      </c>
      <c r="BS138" s="24">
        <f t="shared" si="117"/>
        <v>2.410769071439566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477.17792794193997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314.1401276393035</v>
      </c>
      <c r="T139" s="62">
        <f t="shared" si="142"/>
        <v>243.75878492878178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1.7955491127524383</v>
      </c>
      <c r="AA139" s="23">
        <f>EXP(-LN(2)/25)*AA138+(1-EXP(-LN(2)/25))/(LN(2)/25)*Calculateur!V139*Calculateur!X139*VLOOKUP('Données projet'!$B$9,Paramètres!$A$1:$I$89,3,0)*0.475*44/12</f>
        <v>0.41800456560109378</v>
      </c>
      <c r="AB139" s="23">
        <f>EXP(-LN(2)/2)*AB138+(1-EXP(-LN(2)/2))/(LN(2)/2)*V139*Y139*VLOOKUP('Données projet'!$B$9,Paramètres!$A$1:$I$89,3,0)*0.475*44/12</f>
        <v>6.6265009396218479E-14</v>
      </c>
      <c r="AC139" s="24">
        <f t="shared" si="111"/>
        <v>2.2135536783535983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293.33333333333616</v>
      </c>
      <c r="AN139" s="62">
        <f ca="1">AVERAGE(OFFSET($AM$3,0,0,'Données projet'!$E$10+1,1))-AVERAGE(OFFSET($H$3,0,0,'Données projet'!$E$10+1,1))</f>
        <v>272.85581758101404</v>
      </c>
      <c r="AO139" s="62">
        <f t="shared" si="144"/>
        <v>180.73985910201225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2.1244211695699916E-15</v>
      </c>
      <c r="AX139" s="23">
        <f t="shared" si="114"/>
        <v>2.1244211695699916E-15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282.598842734946</v>
      </c>
      <c r="BJ139" s="62">
        <f t="shared" si="146"/>
        <v>335.56869428808034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1.5014613986117575</v>
      </c>
      <c r="BQ139" s="23">
        <f>EXP(-LN(2)/25)*BQ138+(1-EXP(-LN(2)/25))/(LN(2)/25)*Calculateur!BL139*Calculateur!BN139*VLOOKUP('Données projet'!$B$11,Paramètres!$A$1:$I$89,3,0)*0.475*44/12</f>
        <v>0.85523217913681626</v>
      </c>
      <c r="BR139" s="23">
        <f>EXP(-LN(2)/2)*BR138+(1-EXP(-LN(2)/2))/(LN(2)/2)*BL139*BO139*VLOOKUP('Données projet'!$B$11,Paramètres!$A$1:$I$89,3,0)*0.475*44/12</f>
        <v>7.110643122063239E-15</v>
      </c>
      <c r="BS139" s="24">
        <f t="shared" si="117"/>
        <v>2.3566935777485809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478.75911433492848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314.1401276393035</v>
      </c>
      <c r="T140" s="62">
        <f t="shared" si="142"/>
        <v>243.75878492878178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1.7603394898281821</v>
      </c>
      <c r="AA140" s="23">
        <f>EXP(-LN(2)/25)*AA139+(1-EXP(-LN(2)/25))/(LN(2)/25)*Calculateur!V140*Calculateur!X140*VLOOKUP('Données projet'!$B$9,Paramètres!$A$1:$I$89,3,0)*0.475*44/12</f>
        <v>0.40657420877282713</v>
      </c>
      <c r="AB140" s="23">
        <f>EXP(-LN(2)/2)*AB139+(1-EXP(-LN(2)/2))/(LN(2)/2)*V140*Y140*VLOOKUP('Données projet'!$B$9,Paramètres!$A$1:$I$89,3,0)*0.475*44/12</f>
        <v>4.6856437499456376E-14</v>
      </c>
      <c r="AC140" s="24">
        <f t="shared" si="111"/>
        <v>2.1669136986010562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293.33333333333616</v>
      </c>
      <c r="AN140" s="62">
        <f ca="1">AVERAGE(OFFSET($AM$3,0,0,'Données projet'!$E$10+1,1))-AVERAGE(OFFSET($H$3,0,0,'Données projet'!$E$10+1,1))</f>
        <v>272.85581758101404</v>
      </c>
      <c r="AO140" s="62">
        <f t="shared" si="144"/>
        <v>180.73985910201225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1.5021926150991975E-15</v>
      </c>
      <c r="AX140" s="23">
        <f t="shared" si="114"/>
        <v>1.5021926150991975E-15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282.598842734946</v>
      </c>
      <c r="BJ140" s="62">
        <f t="shared" si="146"/>
        <v>335.56869428808034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1.4720186563860063</v>
      </c>
      <c r="BQ140" s="23">
        <f>EXP(-LN(2)/25)*BQ139+(1-EXP(-LN(2)/25))/(LN(2)/25)*Calculateur!BL140*Calculateur!BN140*VLOOKUP('Données projet'!$B$11,Paramètres!$A$1:$I$89,3,0)*0.475*44/12</f>
        <v>0.83184581022361437</v>
      </c>
      <c r="BR140" s="23">
        <f>EXP(-LN(2)/2)*BR139+(1-EXP(-LN(2)/2))/(LN(2)/2)*BL140*BO140*VLOOKUP('Données projet'!$B$11,Paramètres!$A$1:$I$89,3,0)*0.475*44/12</f>
        <v>5.0279839702083999E-15</v>
      </c>
      <c r="BS140" s="24">
        <f t="shared" si="117"/>
        <v>2.3038644666096255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480.34004237934255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314.1401276393035</v>
      </c>
      <c r="T141" s="62">
        <f t="shared" si="142"/>
        <v>243.75878492878178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1.7258203061337212</v>
      </c>
      <c r="AA141" s="23">
        <f>EXP(-LN(2)/25)*AA140+(1-EXP(-LN(2)/25))/(LN(2)/25)*Calculateur!V141*Calculateur!X141*VLOOKUP('Données projet'!$B$9,Paramètres!$A$1:$I$89,3,0)*0.475*44/12</f>
        <v>0.39545641565312578</v>
      </c>
      <c r="AB141" s="23">
        <f>EXP(-LN(2)/2)*AB140+(1-EXP(-LN(2)/2))/(LN(2)/2)*V141*Y141*VLOOKUP('Données projet'!$B$9,Paramètres!$A$1:$I$89,3,0)*0.475*44/12</f>
        <v>3.3132504698109239E-14</v>
      </c>
      <c r="AC141" s="24">
        <f t="shared" si="111"/>
        <v>2.1212767217868804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293.33333333333616</v>
      </c>
      <c r="AN141" s="62">
        <f ca="1">AVERAGE(OFFSET($AM$3,0,0,'Données projet'!$E$10+1,1))-AVERAGE(OFFSET($H$3,0,0,'Données projet'!$E$10+1,1))</f>
        <v>272.85581758101404</v>
      </c>
      <c r="AO141" s="62">
        <f t="shared" si="144"/>
        <v>180.73985910201225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1.0622105847849958E-15</v>
      </c>
      <c r="AX141" s="23">
        <f t="shared" si="114"/>
        <v>1.0622105847849958E-15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282.598842734946</v>
      </c>
      <c r="BJ141" s="62">
        <f t="shared" si="146"/>
        <v>335.56869428808034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1.4431532683770025</v>
      </c>
      <c r="BQ141" s="23">
        <f>EXP(-LN(2)/25)*BQ140+(1-EXP(-LN(2)/25))/(LN(2)/25)*Calculateur!BL141*Calculateur!BN141*VLOOKUP('Données projet'!$B$11,Paramètres!$A$1:$I$89,3,0)*0.475*44/12</f>
        <v>0.80909894279817973</v>
      </c>
      <c r="BR141" s="23">
        <f>EXP(-LN(2)/2)*BR140+(1-EXP(-LN(2)/2))/(LN(2)/2)*BL141*BO141*VLOOKUP('Données projet'!$B$11,Paramètres!$A$1:$I$89,3,0)*0.475*44/12</f>
        <v>3.5553215610316195E-15</v>
      </c>
      <c r="BS141" s="24">
        <f t="shared" si="117"/>
        <v>2.2522522111751857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481.92071416433993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314.1401276393035</v>
      </c>
      <c r="T142" s="62">
        <f t="shared" si="142"/>
        <v>243.75878492878178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1.6919780225768855</v>
      </c>
      <c r="AA142" s="23">
        <f>EXP(-LN(2)/25)*AA141+(1-EXP(-LN(2)/25))/(LN(2)/25)*Calculateur!V142*Calculateur!X142*VLOOKUP('Données projet'!$B$9,Paramètres!$A$1:$I$89,3,0)*0.475*44/12</f>
        <v>0.38464263917094199</v>
      </c>
      <c r="AB142" s="23">
        <f>EXP(-LN(2)/2)*AB141+(1-EXP(-LN(2)/2))/(LN(2)/2)*V142*Y142*VLOOKUP('Données projet'!$B$9,Paramètres!$A$1:$I$89,3,0)*0.475*44/12</f>
        <v>2.3428218749728188E-14</v>
      </c>
      <c r="AC142" s="24">
        <f t="shared" si="111"/>
        <v>2.0766206617478509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293.33333333333616</v>
      </c>
      <c r="AN142" s="62">
        <f ca="1">AVERAGE(OFFSET($AM$3,0,0,'Données projet'!$E$10+1,1))-AVERAGE(OFFSET($H$3,0,0,'Données projet'!$E$10+1,1))</f>
        <v>272.85581758101404</v>
      </c>
      <c r="AO142" s="62">
        <f t="shared" si="144"/>
        <v>180.73985910201225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7.5109630754959873E-16</v>
      </c>
      <c r="AX142" s="23">
        <f t="shared" si="114"/>
        <v>7.5109630754959873E-16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282.598842734946</v>
      </c>
      <c r="BJ142" s="62">
        <f t="shared" si="146"/>
        <v>335.56869428808034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1.4148539130207072</v>
      </c>
      <c r="BQ142" s="23">
        <f>EXP(-LN(2)/25)*BQ141+(1-EXP(-LN(2)/25))/(LN(2)/25)*Calculateur!BL142*Calculateur!BN142*VLOOKUP('Données projet'!$B$11,Paramètres!$A$1:$I$89,3,0)*0.475*44/12</f>
        <v>0.78697408965869931</v>
      </c>
      <c r="BR142" s="23">
        <f>EXP(-LN(2)/2)*BR141+(1-EXP(-LN(2)/2))/(LN(2)/2)*BL142*BO142*VLOOKUP('Données projet'!$B$11,Paramètres!$A$1:$I$89,3,0)*0.475*44/12</f>
        <v>2.5139919851041999E-15</v>
      </c>
      <c r="BS142" s="24">
        <f t="shared" si="117"/>
        <v>2.201828002679409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483.50113174728205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314.1401276393035</v>
      </c>
      <c r="T143" s="62">
        <f t="shared" si="142"/>
        <v>243.75878492878178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1.6587993655588444</v>
      </c>
      <c r="AA143" s="23">
        <f>EXP(-LN(2)/25)*AA142+(1-EXP(-LN(2)/25))/(LN(2)/25)*Calculateur!V143*Calculateur!X143*VLOOKUP('Données projet'!$B$9,Paramètres!$A$1:$I$89,3,0)*0.475*44/12</f>
        <v>0.37412456597533528</v>
      </c>
      <c r="AB143" s="23">
        <f>EXP(-LN(2)/2)*AB142+(1-EXP(-LN(2)/2))/(LN(2)/2)*V143*Y143*VLOOKUP('Données projet'!$B$9,Paramètres!$A$1:$I$89,3,0)*0.475*44/12</f>
        <v>1.656625234905462E-14</v>
      </c>
      <c r="AC143" s="24">
        <f t="shared" si="111"/>
        <v>2.0329239315341963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293.33333333333616</v>
      </c>
      <c r="AN143" s="62">
        <f ca="1">AVERAGE(OFFSET($AM$3,0,0,'Données projet'!$E$10+1,1))-AVERAGE(OFFSET($H$3,0,0,'Données projet'!$E$10+1,1))</f>
        <v>272.85581758101404</v>
      </c>
      <c r="AO143" s="62">
        <f t="shared" si="144"/>
        <v>180.73985910201225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5.3110529239249791E-16</v>
      </c>
      <c r="AX143" s="23">
        <f t="shared" si="114"/>
        <v>5.3110529239249791E-16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282.598842734946</v>
      </c>
      <c r="BJ143" s="62">
        <f t="shared" si="146"/>
        <v>335.56869428808034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1.3871094907620463</v>
      </c>
      <c r="BQ143" s="23">
        <f>EXP(-LN(2)/25)*BQ142+(1-EXP(-LN(2)/25))/(LN(2)/25)*Calculateur!BL143*Calculateur!BN143*VLOOKUP('Données projet'!$B$11,Paramètres!$A$1:$I$89,3,0)*0.475*44/12</f>
        <v>0.76545424179181343</v>
      </c>
      <c r="BR143" s="23">
        <f>EXP(-LN(2)/2)*BR142+(1-EXP(-LN(2)/2))/(LN(2)/2)*BL143*BO143*VLOOKUP('Données projet'!$B$11,Paramètres!$A$1:$I$89,3,0)*0.475*44/12</f>
        <v>1.7776607805158098E-15</v>
      </c>
      <c r="BS143" s="24">
        <f t="shared" si="117"/>
        <v>2.1525637325538614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485.08129715444073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314.1401276393035</v>
      </c>
      <c r="T144" s="62">
        <f t="shared" si="142"/>
        <v>243.75878492878178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1.6262713217679448</v>
      </c>
      <c r="AA144" s="23">
        <f>EXP(-LN(2)/25)*AA143+(1-EXP(-LN(2)/25))/(LN(2)/25)*Calculateur!V144*Calculateur!X144*VLOOKUP('Données projet'!$B$9,Paramètres!$A$1:$I$89,3,0)*0.475*44/12</f>
        <v>0.36389411004438388</v>
      </c>
      <c r="AB144" s="23">
        <f>EXP(-LN(2)/2)*AB143+(1-EXP(-LN(2)/2))/(LN(2)/2)*V144*Y144*VLOOKUP('Données projet'!$B$9,Paramètres!$A$1:$I$89,3,0)*0.475*44/12</f>
        <v>1.1714109374864094E-14</v>
      </c>
      <c r="AC144" s="24">
        <f t="shared" si="111"/>
        <v>1.9901654318123405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293.33333333333616</v>
      </c>
      <c r="AN144" s="62">
        <f ca="1">AVERAGE(OFFSET($AM$3,0,0,'Données projet'!$E$10+1,1))-AVERAGE(OFFSET($H$3,0,0,'Données projet'!$E$10+1,1))</f>
        <v>272.85581758101404</v>
      </c>
      <c r="AO144" s="62">
        <f t="shared" si="144"/>
        <v>180.73985910201225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3.7554815377479937E-16</v>
      </c>
      <c r="AX144" s="23">
        <f t="shared" si="114"/>
        <v>3.7554815377479937E-16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282.598842734946</v>
      </c>
      <c r="BJ144" s="62">
        <f t="shared" si="146"/>
        <v>335.56869428808034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1.359909119701451</v>
      </c>
      <c r="BQ144" s="23">
        <f>EXP(-LN(2)/25)*BQ143+(1-EXP(-LN(2)/25))/(LN(2)/25)*Calculateur!BL144*Calculateur!BN144*VLOOKUP('Données projet'!$B$11,Paramètres!$A$1:$I$89,3,0)*0.475*44/12</f>
        <v>0.74452285529652718</v>
      </c>
      <c r="BR144" s="23">
        <f>EXP(-LN(2)/2)*BR143+(1-EXP(-LN(2)/2))/(LN(2)/2)*BL144*BO144*VLOOKUP('Données projet'!$B$11,Paramètres!$A$1:$I$89,3,0)*0.475*44/12</f>
        <v>1.2569959925521E-15</v>
      </c>
      <c r="BS144" s="24">
        <f t="shared" si="117"/>
        <v>2.1044319749979796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486.66121238168557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314.1401276393035</v>
      </c>
      <c r="T145" s="62">
        <f t="shared" si="142"/>
        <v>243.75878492878178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1.594381133075637</v>
      </c>
      <c r="AA145" s="23">
        <f>EXP(-LN(2)/25)*AA144+(1-EXP(-LN(2)/25))/(LN(2)/25)*Calculateur!V145*Calculateur!X145*VLOOKUP('Données projet'!$B$9,Paramètres!$A$1:$I$89,3,0)*0.475*44/12</f>
        <v>0.35394340646886063</v>
      </c>
      <c r="AB145" s="23">
        <f>EXP(-LN(2)/2)*AB144+(1-EXP(-LN(2)/2))/(LN(2)/2)*V145*Y145*VLOOKUP('Données projet'!$B$9,Paramètres!$A$1:$I$89,3,0)*0.475*44/12</f>
        <v>8.2831261745273099E-15</v>
      </c>
      <c r="AC145" s="24">
        <f t="shared" si="111"/>
        <v>1.9483245395445059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293.33333333333616</v>
      </c>
      <c r="AN145" s="62">
        <f ca="1">AVERAGE(OFFSET($AM$3,0,0,'Données projet'!$E$10+1,1))-AVERAGE(OFFSET($H$3,0,0,'Données projet'!$E$10+1,1))</f>
        <v>272.85581758101404</v>
      </c>
      <c r="AO145" s="62">
        <f t="shared" si="144"/>
        <v>180.73985910201225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2.6555264619624895E-16</v>
      </c>
      <c r="AX145" s="23">
        <f t="shared" si="114"/>
        <v>2.6555264619624895E-16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282.598842734946</v>
      </c>
      <c r="BJ145" s="62">
        <f t="shared" si="146"/>
        <v>335.56869428808034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1.3332421313267659</v>
      </c>
      <c r="BQ145" s="23">
        <f>EXP(-LN(2)/25)*BQ144+(1-EXP(-LN(2)/25))/(LN(2)/25)*Calculateur!BL145*Calculateur!BN145*VLOOKUP('Données projet'!$B$11,Paramètres!$A$1:$I$89,3,0)*0.475*44/12</f>
        <v>0.72416383866568834</v>
      </c>
      <c r="BR145" s="23">
        <f>EXP(-LN(2)/2)*BR144+(1-EXP(-LN(2)/2))/(LN(2)/2)*BL145*BO145*VLOOKUP('Données projet'!$B$11,Paramètres!$A$1:$I$89,3,0)*0.475*44/12</f>
        <v>8.8883039025790488E-16</v>
      </c>
      <c r="BS145" s="24">
        <f t="shared" si="117"/>
        <v>2.0574059699924554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488.24087939515073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314.1401276393035</v>
      </c>
      <c r="T146" s="62">
        <f t="shared" si="142"/>
        <v>243.75878492878178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1.5631162915324908</v>
      </c>
      <c r="AA146" s="23">
        <f>EXP(-LN(2)/25)*AA145+(1-EXP(-LN(2)/25))/(LN(2)/25)*Calculateur!V146*Calculateur!X146*VLOOKUP('Données projet'!$B$9,Paramètres!$A$1:$I$89,3,0)*0.475*44/12</f>
        <v>0.34426480540589482</v>
      </c>
      <c r="AB146" s="23">
        <f>EXP(-LN(2)/2)*AB145+(1-EXP(-LN(2)/2))/(LN(2)/2)*V146*Y146*VLOOKUP('Données projet'!$B$9,Paramètres!$A$1:$I$89,3,0)*0.475*44/12</f>
        <v>5.8570546874320471E-15</v>
      </c>
      <c r="AC146" s="24">
        <f t="shared" si="111"/>
        <v>1.9073810969383913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293.33333333333616</v>
      </c>
      <c r="AN146" s="62">
        <f ca="1">AVERAGE(OFFSET($AM$3,0,0,'Données projet'!$E$10+1,1))-AVERAGE(OFFSET($H$3,0,0,'Données projet'!$E$10+1,1))</f>
        <v>272.85581758101404</v>
      </c>
      <c r="AO146" s="62">
        <f t="shared" si="144"/>
        <v>180.73985910201225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1.8777407688739968E-16</v>
      </c>
      <c r="AX146" s="23">
        <f t="shared" si="114"/>
        <v>1.8777407688739968E-16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282.598842734946</v>
      </c>
      <c r="BJ146" s="62">
        <f t="shared" si="146"/>
        <v>335.56869428808034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1.3070980663288516</v>
      </c>
      <c r="BQ146" s="23">
        <f>EXP(-LN(2)/25)*BQ145+(1-EXP(-LN(2)/25))/(LN(2)/25)*Calculateur!BL146*Calculateur!BN146*VLOOKUP('Données projet'!$B$11,Paramètres!$A$1:$I$89,3,0)*0.475*44/12</f>
        <v>0.7043615404152539</v>
      </c>
      <c r="BR146" s="23">
        <f>EXP(-LN(2)/2)*BR145+(1-EXP(-LN(2)/2))/(LN(2)/2)*BL146*BO146*VLOOKUP('Données projet'!$B$11,Paramètres!$A$1:$I$89,3,0)*0.475*44/12</f>
        <v>6.2849799627604998E-16</v>
      </c>
      <c r="BS146" s="24">
        <f t="shared" si="117"/>
        <v>2.011459606744106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489.82030013188245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314.1401276393035</v>
      </c>
      <c r="T147" s="62">
        <f t="shared" si="142"/>
        <v>243.75878492878178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1.5324645344623353</v>
      </c>
      <c r="AA147" s="23">
        <f>EXP(-LN(2)/25)*AA146+(1-EXP(-LN(2)/25))/(LN(2)/25)*Calculateur!V147*Calculateur!X147*VLOOKUP('Données projet'!$B$9,Paramètres!$A$1:$I$89,3,0)*0.475*44/12</f>
        <v>0.33485086619797133</v>
      </c>
      <c r="AB147" s="23">
        <f>EXP(-LN(2)/2)*AB146+(1-EXP(-LN(2)/2))/(LN(2)/2)*V147*Y147*VLOOKUP('Données projet'!$B$9,Paramètres!$A$1:$I$89,3,0)*0.475*44/12</f>
        <v>4.1415630872636549E-15</v>
      </c>
      <c r="AC147" s="24">
        <f t="shared" si="111"/>
        <v>1.867315400660311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293.33333333333616</v>
      </c>
      <c r="AN147" s="62">
        <f ca="1">AVERAGE(OFFSET($AM$3,0,0,'Données projet'!$E$10+1,1))-AVERAGE(OFFSET($H$3,0,0,'Données projet'!$E$10+1,1))</f>
        <v>272.85581758101404</v>
      </c>
      <c r="AO147" s="62">
        <f t="shared" si="144"/>
        <v>180.73985910201225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1.3277632309812448E-16</v>
      </c>
      <c r="AX147" s="23">
        <f t="shared" si="114"/>
        <v>1.3277632309812448E-16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282.598842734946</v>
      </c>
      <c r="BJ147" s="62">
        <f t="shared" si="146"/>
        <v>335.56869428808034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1.2814666704992412</v>
      </c>
      <c r="BQ147" s="23">
        <f>EXP(-LN(2)/25)*BQ146+(1-EXP(-LN(2)/25))/(LN(2)/25)*Calculateur!BL147*Calculateur!BN147*VLOOKUP('Données projet'!$B$11,Paramètres!$A$1:$I$89,3,0)*0.475*44/12</f>
        <v>0.68510073705183516</v>
      </c>
      <c r="BR147" s="23">
        <f>EXP(-LN(2)/2)*BR146+(1-EXP(-LN(2)/2))/(LN(2)/2)*BL147*BO147*VLOOKUP('Données projet'!$B$11,Paramètres!$A$1:$I$89,3,0)*0.475*44/12</f>
        <v>4.4441519512895244E-16</v>
      </c>
      <c r="BS147" s="24">
        <f t="shared" si="117"/>
        <v>1.9665674075510768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491.39947650046901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314.1401276393035</v>
      </c>
      <c r="T148" s="62">
        <f t="shared" si="142"/>
        <v>243.75878492878178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1.5024138396525999</v>
      </c>
      <c r="AA148" s="23">
        <f>EXP(-LN(2)/25)*AA147+(1-EXP(-LN(2)/25))/(LN(2)/25)*Calculateur!V148*Calculateur!X148*VLOOKUP('Données projet'!$B$9,Paramètres!$A$1:$I$89,3,0)*0.475*44/12</f>
        <v>0.32569435165274607</v>
      </c>
      <c r="AB148" s="23">
        <f>EXP(-LN(2)/2)*AB147+(1-EXP(-LN(2)/2))/(LN(2)/2)*V148*Y148*VLOOKUP('Données projet'!$B$9,Paramètres!$A$1:$I$89,3,0)*0.475*44/12</f>
        <v>2.9285273437160235E-15</v>
      </c>
      <c r="AC148" s="24">
        <f t="shared" si="111"/>
        <v>1.828108191305349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293.33333333333616</v>
      </c>
      <c r="AN148" s="62">
        <f ca="1">AVERAGE(OFFSET($AM$3,0,0,'Données projet'!$E$10+1,1))-AVERAGE(OFFSET($H$3,0,0,'Données projet'!$E$10+1,1))</f>
        <v>272.85581758101404</v>
      </c>
      <c r="AO148" s="62">
        <f t="shared" si="144"/>
        <v>180.73985910201225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9.3887038443699842E-17</v>
      </c>
      <c r="AX148" s="23">
        <f t="shared" si="114"/>
        <v>9.3887038443699842E-17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282.598842734946</v>
      </c>
      <c r="BJ148" s="62">
        <f t="shared" si="146"/>
        <v>335.56869428808034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1.2563378907082419</v>
      </c>
      <c r="BQ148" s="23">
        <f>EXP(-LN(2)/25)*BQ147+(1-EXP(-LN(2)/25))/(LN(2)/25)*Calculateur!BL148*Calculateur!BN148*VLOOKUP('Données projet'!$B$11,Paramètres!$A$1:$I$89,3,0)*0.475*44/12</f>
        <v>0.66636662136927083</v>
      </c>
      <c r="BR148" s="23">
        <f>EXP(-LN(2)/2)*BR147+(1-EXP(-LN(2)/2))/(LN(2)/2)*BL148*BO148*VLOOKUP('Données projet'!$B$11,Paramètres!$A$1:$I$89,3,0)*0.475*44/12</f>
        <v>3.1424899813802499E-16</v>
      </c>
      <c r="BS148" s="24">
        <f t="shared" si="117"/>
        <v>1.922704512077513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492.97841038165154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314.1401276393035</v>
      </c>
      <c r="T149" s="62">
        <f t="shared" si="142"/>
        <v>243.75878492878178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1.4729524206389695</v>
      </c>
      <c r="AA149" s="23">
        <f>EXP(-LN(2)/25)*AA148+(1-EXP(-LN(2)/25))/(LN(2)/25)*Calculateur!V149*Calculateur!X149*VLOOKUP('Données projet'!$B$9,Paramètres!$A$1:$I$89,3,0)*0.475*44/12</f>
        <v>0.31678822247928018</v>
      </c>
      <c r="AB149" s="23">
        <f>EXP(-LN(2)/2)*AB148+(1-EXP(-LN(2)/2))/(LN(2)/2)*V149*Y149*VLOOKUP('Données projet'!$B$9,Paramètres!$A$1:$I$89,3,0)*0.475*44/12</f>
        <v>2.0707815436318275E-15</v>
      </c>
      <c r="AC149" s="24">
        <f t="shared" si="111"/>
        <v>1.7897406431182517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293.33333333333616</v>
      </c>
      <c r="AN149" s="62">
        <f ca="1">AVERAGE(OFFSET($AM$3,0,0,'Données projet'!$E$10+1,1))-AVERAGE(OFFSET($H$3,0,0,'Données projet'!$E$10+1,1))</f>
        <v>272.85581758101404</v>
      </c>
      <c r="AO149" s="62">
        <f t="shared" si="144"/>
        <v>180.73985910201225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6.6388161549062238E-17</v>
      </c>
      <c r="AX149" s="23">
        <f t="shared" si="114"/>
        <v>6.6388161549062238E-17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282.598842734946</v>
      </c>
      <c r="BJ149" s="62">
        <f t="shared" si="146"/>
        <v>335.56869428808034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1.2317018709619016</v>
      </c>
      <c r="BQ149" s="23">
        <f>EXP(-LN(2)/25)*BQ148+(1-EXP(-LN(2)/25))/(LN(2)/25)*Calculateur!BL149*Calculateur!BN149*VLOOKUP('Données projet'!$B$11,Paramètres!$A$1:$I$89,3,0)*0.475*44/12</f>
        <v>0.64814479106523049</v>
      </c>
      <c r="BR149" s="23">
        <f>EXP(-LN(2)/2)*BR148+(1-EXP(-LN(2)/2))/(LN(2)/2)*BL149*BO149*VLOOKUP('Données projet'!$B$11,Paramètres!$A$1:$I$89,3,0)*0.475*44/12</f>
        <v>2.2220759756447622E-16</v>
      </c>
      <c r="BS149" s="24">
        <f t="shared" si="117"/>
        <v>1.8798466620271324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494.55710362891824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314.1401276393035</v>
      </c>
      <c r="T150" s="62">
        <f t="shared" si="142"/>
        <v>243.75878492878178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1.444068722082505</v>
      </c>
      <c r="AA150" s="23">
        <f>EXP(-LN(2)/25)*AA149+(1-EXP(-LN(2)/25))/(LN(2)/25)*Calculateur!V150*Calculateur!X150*VLOOKUP('Données projet'!$B$9,Paramètres!$A$1:$I$89,3,0)*0.475*44/12</f>
        <v>0.30812563187641567</v>
      </c>
      <c r="AB150" s="23">
        <f>EXP(-LN(2)/2)*AB149+(1-EXP(-LN(2)/2))/(LN(2)/2)*V150*Y150*VLOOKUP('Données projet'!$B$9,Paramètres!$A$1:$I$89,3,0)*0.475*44/12</f>
        <v>1.4642636718580118E-15</v>
      </c>
      <c r="AC150" s="24">
        <f t="shared" si="111"/>
        <v>1.7521943539589222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293.33333333333616</v>
      </c>
      <c r="AN150" s="62">
        <f ca="1">AVERAGE(OFFSET($AM$3,0,0,'Données projet'!$E$10+1,1))-AVERAGE(OFFSET($H$3,0,0,'Données projet'!$E$10+1,1))</f>
        <v>272.85581758101404</v>
      </c>
      <c r="AO150" s="62">
        <f t="shared" si="144"/>
        <v>180.73985910201225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4.6943519221849921E-17</v>
      </c>
      <c r="AX150" s="23">
        <f t="shared" si="114"/>
        <v>4.6943519221849921E-17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282.598842734946</v>
      </c>
      <c r="BJ150" s="62">
        <f t="shared" si="146"/>
        <v>335.56869428808034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1.2075489485362989</v>
      </c>
      <c r="BQ150" s="23">
        <f>EXP(-LN(2)/25)*BQ149+(1-EXP(-LN(2)/25))/(LN(2)/25)*Calculateur!BL150*Calculateur!BN150*VLOOKUP('Données projet'!$B$11,Paramètres!$A$1:$I$89,3,0)*0.475*44/12</f>
        <v>0.63042123766909852</v>
      </c>
      <c r="BR150" s="23">
        <f>EXP(-LN(2)/2)*BR149+(1-EXP(-LN(2)/2))/(LN(2)/2)*BL150*BO150*VLOOKUP('Données projet'!$B$11,Paramètres!$A$1:$I$89,3,0)*0.475*44/12</f>
        <v>1.571244990690125E-16</v>
      </c>
      <c r="BS150" s="24">
        <f t="shared" si="117"/>
        <v>1.8379701862053976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496.13555806908232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314.1401276393035</v>
      </c>
      <c r="T151" s="62">
        <f t="shared" si="142"/>
        <v>243.75878492878178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1.4157514152374162</v>
      </c>
      <c r="AA151" s="23">
        <f>EXP(-LN(2)/25)*AA150+(1-EXP(-LN(2)/25))/(LN(2)/25)*Calculateur!V151*Calculateur!X151*VLOOKUP('Données projet'!$B$9,Paramètres!$A$1:$I$89,3,0)*0.475*44/12</f>
        <v>0.29969992026913234</v>
      </c>
      <c r="AB151" s="23">
        <f>EXP(-LN(2)/2)*AB150+(1-EXP(-LN(2)/2))/(LN(2)/2)*V151*Y151*VLOOKUP('Données projet'!$B$9,Paramètres!$A$1:$I$89,3,0)*0.475*44/12</f>
        <v>1.0353907718159137E-15</v>
      </c>
      <c r="AC151" s="24">
        <f t="shared" si="111"/>
        <v>1.7154513355065497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293.33333333333616</v>
      </c>
      <c r="AN151" s="62">
        <f ca="1">AVERAGE(OFFSET($AM$3,0,0,'Données projet'!$E$10+1,1))-AVERAGE(OFFSET($H$3,0,0,'Données projet'!$E$10+1,1))</f>
        <v>272.85581758101404</v>
      </c>
      <c r="AO151" s="62">
        <f t="shared" si="144"/>
        <v>180.73985910201225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3.3194080774531119E-17</v>
      </c>
      <c r="AX151" s="23">
        <f t="shared" si="114"/>
        <v>3.3194080774531119E-17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282.598842734946</v>
      </c>
      <c r="BJ151" s="62">
        <f t="shared" si="146"/>
        <v>335.56869428808034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1.1838696501876342</v>
      </c>
      <c r="BQ151" s="23">
        <f>EXP(-LN(2)/25)*BQ150+(1-EXP(-LN(2)/25))/(LN(2)/25)*Calculateur!BL151*Calculateur!BN151*VLOOKUP('Données projet'!$B$11,Paramètres!$A$1:$I$89,3,0)*0.475*44/12</f>
        <v>0.61318233577262493</v>
      </c>
      <c r="BR151" s="23">
        <f>EXP(-LN(2)/2)*BR150+(1-EXP(-LN(2)/2))/(LN(2)/2)*BL151*BO151*VLOOKUP('Données projet'!$B$11,Paramètres!$A$1:$I$89,3,0)*0.475*44/12</f>
        <v>1.1110379878223811E-16</v>
      </c>
      <c r="BS151" s="24">
        <f t="shared" si="117"/>
        <v>1.7970519859602594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497.71377550284296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314.1401276393035</v>
      </c>
      <c r="T152" s="62">
        <f t="shared" si="142"/>
        <v>243.75878492878178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1.3879893935077079</v>
      </c>
      <c r="AA152" s="23">
        <f>EXP(-LN(2)/25)*AA151+(1-EXP(-LN(2)/25))/(LN(2)/25)*Calculateur!V152*Calculateur!X152*VLOOKUP('Données projet'!$B$9,Paramètres!$A$1:$I$89,3,0)*0.475*44/12</f>
        <v>0.29150461018883905</v>
      </c>
      <c r="AB152" s="23">
        <f>EXP(-LN(2)/2)*AB151+(1-EXP(-LN(2)/2))/(LN(2)/2)*V152*Y152*VLOOKUP('Données projet'!$B$9,Paramètres!$A$1:$I$89,3,0)*0.475*44/12</f>
        <v>7.3213183592900588E-16</v>
      </c>
      <c r="AC152" s="24">
        <f t="shared" si="111"/>
        <v>1.6794940036965476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293.33333333333616</v>
      </c>
      <c r="AN152" s="62">
        <f ca="1">AVERAGE(OFFSET($AM$3,0,0,'Données projet'!$E$10+1,1))-AVERAGE(OFFSET($H$3,0,0,'Données projet'!$E$10+1,1))</f>
        <v>272.85581758101404</v>
      </c>
      <c r="AO152" s="62">
        <f t="shared" si="144"/>
        <v>180.73985910201225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2.347175961092496E-17</v>
      </c>
      <c r="AX152" s="23">
        <f t="shared" si="114"/>
        <v>2.347175961092496E-17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282.598842734946</v>
      </c>
      <c r="BJ152" s="62">
        <f t="shared" si="146"/>
        <v>335.56869428808034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1.1606546884366409</v>
      </c>
      <c r="BQ152" s="23">
        <f>EXP(-LN(2)/25)*BQ151+(1-EXP(-LN(2)/25))/(LN(2)/25)*Calculateur!BL152*Calculateur!BN152*VLOOKUP('Données projet'!$B$11,Paramètres!$A$1:$I$89,3,0)*0.475*44/12</f>
        <v>0.59641483255506489</v>
      </c>
      <c r="BR152" s="23">
        <f>EXP(-LN(2)/2)*BR151+(1-EXP(-LN(2)/2))/(LN(2)/2)*BL152*BO152*VLOOKUP('Données projet'!$B$11,Paramètres!$A$1:$I$89,3,0)*0.475*44/12</f>
        <v>7.8562249534506248E-17</v>
      </c>
      <c r="BS152" s="24">
        <f t="shared" si="117"/>
        <v>1.7570695209917058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499.29175770533203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314.1401276393035</v>
      </c>
      <c r="T153" s="62">
        <f t="shared" si="142"/>
        <v>243.75878492878178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1.3607717680909579</v>
      </c>
      <c r="AA153" s="23">
        <f>EXP(-LN(2)/25)*AA152+(1-EXP(-LN(2)/25))/(LN(2)/25)*Calculateur!V153*Calculateur!X153*VLOOKUP('Données projet'!$B$9,Paramètres!$A$1:$I$89,3,0)*0.475*44/12</f>
        <v>0.28353340129366406</v>
      </c>
      <c r="AB153" s="23">
        <f>EXP(-LN(2)/2)*AB152+(1-EXP(-LN(2)/2))/(LN(2)/2)*V153*Y153*VLOOKUP('Données projet'!$B$9,Paramètres!$A$1:$I$89,3,0)*0.475*44/12</f>
        <v>5.1769538590795687E-16</v>
      </c>
      <c r="AC153" s="24">
        <f t="shared" si="111"/>
        <v>1.6443051693846225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293.33333333333616</v>
      </c>
      <c r="AN153" s="62">
        <f ca="1">AVERAGE(OFFSET($AM$3,0,0,'Données projet'!$E$10+1,1))-AVERAGE(OFFSET($H$3,0,0,'Données projet'!$E$10+1,1))</f>
        <v>272.85581758101404</v>
      </c>
      <c r="AO153" s="62">
        <f t="shared" si="144"/>
        <v>180.73985910201225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1.659704038726556E-17</v>
      </c>
      <c r="AX153" s="23">
        <f t="shared" si="114"/>
        <v>1.659704038726556E-17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282.598842734946</v>
      </c>
      <c r="BJ153" s="62">
        <f t="shared" si="146"/>
        <v>335.56869428808034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1.1378949579258562</v>
      </c>
      <c r="BQ153" s="23">
        <f>EXP(-LN(2)/25)*BQ152+(1-EXP(-LN(2)/25))/(LN(2)/25)*Calculateur!BL153*Calculateur!BN153*VLOOKUP('Données projet'!$B$11,Paramètres!$A$1:$I$89,3,0)*0.475*44/12</f>
        <v>0.58010583759475376</v>
      </c>
      <c r="BR153" s="23">
        <f>EXP(-LN(2)/2)*BR152+(1-EXP(-LN(2)/2))/(LN(2)/2)*BL153*BO153*VLOOKUP('Données projet'!$B$11,Paramètres!$A$1:$I$89,3,0)*0.475*44/12</f>
        <v>5.5551899391119055E-17</v>
      </c>
      <c r="BS153" s="24">
        <f t="shared" si="117"/>
        <v>1.7180007955206098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500.86950642664414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314.1401276393035</v>
      </c>
      <c r="T154" s="62">
        <f t="shared" si="142"/>
        <v>243.75878492878178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1.3340878637075182</v>
      </c>
      <c r="AA154" s="23">
        <f>EXP(-LN(2)/25)*AA153+(1-EXP(-LN(2)/25))/(LN(2)/25)*Calculateur!V154*Calculateur!X154*VLOOKUP('Données projet'!$B$9,Paramètres!$A$1:$I$89,3,0)*0.475*44/12</f>
        <v>0.27578016552491524</v>
      </c>
      <c r="AB154" s="23">
        <f>EXP(-LN(2)/2)*AB153+(1-EXP(-LN(2)/2))/(LN(2)/2)*V154*Y154*VLOOKUP('Données projet'!$B$9,Paramètres!$A$1:$I$89,3,0)*0.475*44/12</f>
        <v>3.6606591796450294E-16</v>
      </c>
      <c r="AC154" s="24">
        <f t="shared" ref="AC154:AC203" si="163">SUM(Z154:AB154)</f>
        <v>1.6098680292324339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293.33333333333616</v>
      </c>
      <c r="AN154" s="62">
        <f ca="1">AVERAGE(OFFSET($AM$3,0,0,'Données projet'!$E$10+1,1))-AVERAGE(OFFSET($H$3,0,0,'Données projet'!$E$10+1,1))</f>
        <v>272.85581758101404</v>
      </c>
      <c r="AO154" s="62">
        <f t="shared" si="144"/>
        <v>180.73985910201225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1.173587980546248E-17</v>
      </c>
      <c r="AX154" s="23">
        <f t="shared" ref="AX154:AX203" si="166">SUM(AU154:AW154)</f>
        <v>1.173587980546248E-17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282.598842734946</v>
      </c>
      <c r="BJ154" s="62">
        <f t="shared" si="146"/>
        <v>335.56869428808034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1.1155815318483229</v>
      </c>
      <c r="BQ154" s="23">
        <f>EXP(-LN(2)/25)*BQ153+(1-EXP(-LN(2)/25))/(LN(2)/25)*Calculateur!BL154*Calculateur!BN154*VLOOKUP('Données projet'!$B$11,Paramètres!$A$1:$I$89,3,0)*0.475*44/12</f>
        <v>0.56424281295928502</v>
      </c>
      <c r="BR154" s="23">
        <f>EXP(-LN(2)/2)*BR153+(1-EXP(-LN(2)/2))/(LN(2)/2)*BL154*BO154*VLOOKUP('Données projet'!$B$11,Paramètres!$A$1:$I$89,3,0)*0.475*44/12</f>
        <v>3.9281124767253124E-17</v>
      </c>
      <c r="BS154" s="24">
        <f t="shared" ref="BS154:BS203" si="169">SUM(BP154:BR154)</f>
        <v>1.6798243448076078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502.44702339235391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314.1401276393035</v>
      </c>
      <c r="T155" s="62">
        <f t="shared" si="142"/>
        <v>243.75878492878178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1.307927214413463</v>
      </c>
      <c r="AA155" s="23">
        <f>EXP(-LN(2)/25)*AA154+(1-EXP(-LN(2)/25))/(LN(2)/25)*Calculateur!V155*Calculateur!X155*VLOOKUP('Données projet'!$B$9,Paramètres!$A$1:$I$89,3,0)*0.475*44/12</f>
        <v>0.26823894239598783</v>
      </c>
      <c r="AB155" s="23">
        <f>EXP(-LN(2)/2)*AB154+(1-EXP(-LN(2)/2))/(LN(2)/2)*V155*Y155*VLOOKUP('Données projet'!$B$9,Paramètres!$A$1:$I$89,3,0)*0.475*44/12</f>
        <v>2.5884769295397843E-16</v>
      </c>
      <c r="AC155" s="24">
        <f t="shared" si="163"/>
        <v>1.5761661568094512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293.33333333333616</v>
      </c>
      <c r="AN155" s="62">
        <f ca="1">AVERAGE(OFFSET($AM$3,0,0,'Données projet'!$E$10+1,1))-AVERAGE(OFFSET($H$3,0,0,'Données projet'!$E$10+1,1))</f>
        <v>272.85581758101404</v>
      </c>
      <c r="AO155" s="62">
        <f t="shared" si="144"/>
        <v>180.73985910201225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8.2985201936327798E-18</v>
      </c>
      <c r="AX155" s="23">
        <f t="shared" si="166"/>
        <v>8.2985201936327798E-18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282.598842734946</v>
      </c>
      <c r="BJ155" s="62">
        <f t="shared" si="146"/>
        <v>335.56869428808034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1.0937056584463241</v>
      </c>
      <c r="BQ155" s="23">
        <f>EXP(-LN(2)/25)*BQ154+(1-EXP(-LN(2)/25))/(LN(2)/25)*Calculateur!BL155*Calculateur!BN155*VLOOKUP('Données projet'!$B$11,Paramètres!$A$1:$I$89,3,0)*0.475*44/12</f>
        <v>0.54881356356667343</v>
      </c>
      <c r="BR155" s="23">
        <f>EXP(-LN(2)/2)*BR154+(1-EXP(-LN(2)/2))/(LN(2)/2)*BL155*BO155*VLOOKUP('Données projet'!$B$11,Paramètres!$A$1:$I$89,3,0)*0.475*44/12</f>
        <v>2.7775949695559527E-17</v>
      </c>
      <c r="BS155" s="24">
        <f t="shared" si="169"/>
        <v>1.6425192220129974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504.02431030401851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314.1401276393035</v>
      </c>
      <c r="T156" s="62">
        <f t="shared" si="142"/>
        <v>243.75878492878178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1.282279559495644</v>
      </c>
      <c r="AA156" s="23">
        <f>EXP(-LN(2)/25)*AA155+(1-EXP(-LN(2)/25))/(LN(2)/25)*Calculateur!V156*Calculateur!X156*VLOOKUP('Données projet'!$B$9,Paramètres!$A$1:$I$89,3,0)*0.475*44/12</f>
        <v>0.26090393441009663</v>
      </c>
      <c r="AB156" s="23">
        <f>EXP(-LN(2)/2)*AB155+(1-EXP(-LN(2)/2))/(LN(2)/2)*V156*Y156*VLOOKUP('Données projet'!$B$9,Paramètres!$A$1:$I$89,3,0)*0.475*44/12</f>
        <v>1.8303295898225147E-16</v>
      </c>
      <c r="AC156" s="24">
        <f t="shared" si="163"/>
        <v>1.5431834939057409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293.33333333333616</v>
      </c>
      <c r="AN156" s="62">
        <f ca="1">AVERAGE(OFFSET($AM$3,0,0,'Données projet'!$E$10+1,1))-AVERAGE(OFFSET($H$3,0,0,'Données projet'!$E$10+1,1))</f>
        <v>272.85581758101404</v>
      </c>
      <c r="AO156" s="62">
        <f t="shared" si="144"/>
        <v>180.73985910201225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5.8679399027312401E-18</v>
      </c>
      <c r="AX156" s="23">
        <f t="shared" si="166"/>
        <v>5.8679399027312401E-18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282.598842734946</v>
      </c>
      <c r="BJ156" s="62">
        <f t="shared" si="146"/>
        <v>335.56869428808034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1.0722587575787732</v>
      </c>
      <c r="BQ156" s="23">
        <f>EXP(-LN(2)/25)*BQ155+(1-EXP(-LN(2)/25))/(LN(2)/25)*Calculateur!BL156*Calculateur!BN156*VLOOKUP('Données projet'!$B$11,Paramètres!$A$1:$I$89,3,0)*0.475*44/12</f>
        <v>0.53380622781009179</v>
      </c>
      <c r="BR156" s="23">
        <f>EXP(-LN(2)/2)*BR155+(1-EXP(-LN(2)/2))/(LN(2)/2)*BL156*BO156*VLOOKUP('Données projet'!$B$11,Paramètres!$A$1:$I$89,3,0)*0.475*44/12</f>
        <v>1.9640562383626562E-17</v>
      </c>
      <c r="BS156" s="24">
        <f t="shared" si="169"/>
        <v>1.6060649853888651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505.60136883966601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314.1401276393035</v>
      </c>
      <c r="T157" s="62">
        <f t="shared" si="142"/>
        <v>243.75878492878178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1.2571348394472384</v>
      </c>
      <c r="AA157" s="23">
        <f>EXP(-LN(2)/25)*AA156+(1-EXP(-LN(2)/25))/(LN(2)/25)*Calculateur!V157*Calculateur!X157*VLOOKUP('Données projet'!$B$9,Paramètres!$A$1:$I$89,3,0)*0.475*44/12</f>
        <v>0.25376950260331094</v>
      </c>
      <c r="AB157" s="23">
        <f>EXP(-LN(2)/2)*AB156+(1-EXP(-LN(2)/2))/(LN(2)/2)*V157*Y157*VLOOKUP('Données projet'!$B$9,Paramètres!$A$1:$I$89,3,0)*0.475*44/12</f>
        <v>1.2942384647698922E-16</v>
      </c>
      <c r="AC157" s="24">
        <f t="shared" si="163"/>
        <v>1.5109043420505495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293.33333333333616</v>
      </c>
      <c r="AN157" s="62">
        <f ca="1">AVERAGE(OFFSET($AM$3,0,0,'Données projet'!$E$10+1,1))-AVERAGE(OFFSET($H$3,0,0,'Données projet'!$E$10+1,1))</f>
        <v>272.85581758101404</v>
      </c>
      <c r="AO157" s="62">
        <f t="shared" si="144"/>
        <v>180.73985910201225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4.1492600968163899E-18</v>
      </c>
      <c r="AX157" s="23">
        <f t="shared" si="166"/>
        <v>4.1492600968163899E-18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282.598842734946</v>
      </c>
      <c r="BJ157" s="62">
        <f t="shared" si="146"/>
        <v>335.56869428808034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1.0512324173559171</v>
      </c>
      <c r="BQ157" s="23">
        <f>EXP(-LN(2)/25)*BQ156+(1-EXP(-LN(2)/25))/(LN(2)/25)*Calculateur!BL157*Calculateur!BN157*VLOOKUP('Données projet'!$B$11,Paramètres!$A$1:$I$89,3,0)*0.475*44/12</f>
        <v>0.5192092684389753</v>
      </c>
      <c r="BR157" s="23">
        <f>EXP(-LN(2)/2)*BR156+(1-EXP(-LN(2)/2))/(LN(2)/2)*BL157*BO157*VLOOKUP('Données projet'!$B$11,Paramètres!$A$1:$I$89,3,0)*0.475*44/12</f>
        <v>1.3887974847779764E-17</v>
      </c>
      <c r="BS157" s="24">
        <f t="shared" si="169"/>
        <v>1.5704416857948924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507.17820065427208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314.1401276393035</v>
      </c>
      <c r="T158" s="62">
        <f t="shared" si="142"/>
        <v>243.75878492878178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1.2324831920222172</v>
      </c>
      <c r="AA158" s="23">
        <f>EXP(-LN(2)/25)*AA157+(1-EXP(-LN(2)/25))/(LN(2)/25)*Calculateur!V158*Calculateur!X158*VLOOKUP('Données projet'!$B$9,Paramètres!$A$1:$I$89,3,0)*0.475*44/12</f>
        <v>0.24683016220946524</v>
      </c>
      <c r="AB158" s="23">
        <f>EXP(-LN(2)/2)*AB157+(1-EXP(-LN(2)/2))/(LN(2)/2)*V158*Y158*VLOOKUP('Données projet'!$B$9,Paramètres!$A$1:$I$89,3,0)*0.475*44/12</f>
        <v>9.1516479491125735E-17</v>
      </c>
      <c r="AC158" s="24">
        <f t="shared" si="163"/>
        <v>1.4793133542316825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293.33333333333616</v>
      </c>
      <c r="AN158" s="62">
        <f ca="1">AVERAGE(OFFSET($AM$3,0,0,'Données projet'!$E$10+1,1))-AVERAGE(OFFSET($H$3,0,0,'Données projet'!$E$10+1,1))</f>
        <v>272.85581758101404</v>
      </c>
      <c r="AO158" s="62">
        <f t="shared" si="144"/>
        <v>180.73985910201225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2.9339699513656201E-18</v>
      </c>
      <c r="AX158" s="23">
        <f t="shared" si="166"/>
        <v>2.9339699513656201E-18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282.598842734946</v>
      </c>
      <c r="BJ158" s="62">
        <f t="shared" si="146"/>
        <v>335.56869428808034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1.0306183908400302</v>
      </c>
      <c r="BQ158" s="23">
        <f>EXP(-LN(2)/25)*BQ157+(1-EXP(-LN(2)/25))/(LN(2)/25)*Calculateur!BL158*Calculateur!BN158*VLOOKUP('Données projet'!$B$11,Paramètres!$A$1:$I$89,3,0)*0.475*44/12</f>
        <v>0.5050114636894828</v>
      </c>
      <c r="BR158" s="23">
        <f>EXP(-LN(2)/2)*BR157+(1-EXP(-LN(2)/2))/(LN(2)/2)*BL158*BO158*VLOOKUP('Données projet'!$B$11,Paramètres!$A$1:$I$89,3,0)*0.475*44/12</f>
        <v>9.820281191813281E-18</v>
      </c>
      <c r="BS158" s="24">
        <f t="shared" si="169"/>
        <v>1.5356298545295131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508.75480738022304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314.1401276393035</v>
      </c>
      <c r="T159" s="62">
        <f t="shared" si="142"/>
        <v>243.75878492878178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1.2083149483671805</v>
      </c>
      <c r="AA159" s="23">
        <f>EXP(-LN(2)/25)*AA158+(1-EXP(-LN(2)/25))/(LN(2)/25)*Calculateur!V159*Calculateur!X159*VLOOKUP('Données projet'!$B$9,Paramètres!$A$1:$I$89,3,0)*0.475*44/12</f>
        <v>0.24008057844361333</v>
      </c>
      <c r="AB159" s="23">
        <f>EXP(-LN(2)/2)*AB158+(1-EXP(-LN(2)/2))/(LN(2)/2)*V159*Y159*VLOOKUP('Données projet'!$B$9,Paramètres!$A$1:$I$89,3,0)*0.475*44/12</f>
        <v>6.4711923238494608E-17</v>
      </c>
      <c r="AC159" s="24">
        <f t="shared" si="163"/>
        <v>1.4483955268107938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293.33333333333616</v>
      </c>
      <c r="AN159" s="62">
        <f ca="1">AVERAGE(OFFSET($AM$3,0,0,'Données projet'!$E$10+1,1))-AVERAGE(OFFSET($H$3,0,0,'Données projet'!$E$10+1,1))</f>
        <v>272.85581758101404</v>
      </c>
      <c r="AO159" s="62">
        <f t="shared" si="144"/>
        <v>180.73985910201225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2.0746300484081949E-18</v>
      </c>
      <c r="AX159" s="23">
        <f t="shared" si="166"/>
        <v>2.0746300484081949E-18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282.598842734946</v>
      </c>
      <c r="BJ159" s="62">
        <f t="shared" si="146"/>
        <v>335.56869428808034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1.0104085928108051</v>
      </c>
      <c r="BQ159" s="23">
        <f>EXP(-LN(2)/25)*BQ158+(1-EXP(-LN(2)/25))/(LN(2)/25)*Calculateur!BL159*Calculateur!BN159*VLOOKUP('Données projet'!$B$11,Paramètres!$A$1:$I$89,3,0)*0.475*44/12</f>
        <v>0.49120189865749525</v>
      </c>
      <c r="BR159" s="23">
        <f>EXP(-LN(2)/2)*BR158+(1-EXP(-LN(2)/2))/(LN(2)/2)*BL159*BO159*VLOOKUP('Données projet'!$B$11,Paramètres!$A$1:$I$89,3,0)*0.475*44/12</f>
        <v>6.9439874238898819E-18</v>
      </c>
      <c r="BS159" s="24">
        <f t="shared" si="169"/>
        <v>1.5016104914683004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510.33119062776711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314.1401276393035</v>
      </c>
      <c r="T160" s="62">
        <f t="shared" si="142"/>
        <v>243.75878492878178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1.184620629229046</v>
      </c>
      <c r="AA160" s="23">
        <f>EXP(-LN(2)/25)*AA159+(1-EXP(-LN(2)/25))/(LN(2)/25)*Calculateur!V160*Calculateur!X160*VLOOKUP('Données projet'!$B$9,Paramètres!$A$1:$I$89,3,0)*0.475*44/12</f>
        <v>0.2335155624007838</v>
      </c>
      <c r="AB160" s="23">
        <f>EXP(-LN(2)/2)*AB159+(1-EXP(-LN(2)/2))/(LN(2)/2)*V160*Y160*VLOOKUP('Données projet'!$B$9,Paramètres!$A$1:$I$89,3,0)*0.475*44/12</f>
        <v>4.5758239745562868E-17</v>
      </c>
      <c r="AC160" s="24">
        <f t="shared" si="163"/>
        <v>1.4181361916298298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293.33333333333616</v>
      </c>
      <c r="AN160" s="62">
        <f ca="1">AVERAGE(OFFSET($AM$3,0,0,'Données projet'!$E$10+1,1))-AVERAGE(OFFSET($H$3,0,0,'Données projet'!$E$10+1,1))</f>
        <v>272.85581758101404</v>
      </c>
      <c r="AO160" s="62">
        <f t="shared" si="144"/>
        <v>180.73985910201225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1.46698497568281E-18</v>
      </c>
      <c r="AX160" s="23">
        <f t="shared" si="166"/>
        <v>1.46698497568281E-18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282.598842734946</v>
      </c>
      <c r="BJ160" s="62">
        <f t="shared" si="146"/>
        <v>335.56869428808034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0.99059509659417344</v>
      </c>
      <c r="BQ160" s="23">
        <f>EXP(-LN(2)/25)*BQ159+(1-EXP(-LN(2)/25))/(LN(2)/25)*Calculateur!BL160*Calculateur!BN160*VLOOKUP('Données projet'!$B$11,Paramètres!$A$1:$I$89,3,0)*0.475*44/12</f>
        <v>0.47776995690752083</v>
      </c>
      <c r="BR160" s="23">
        <f>EXP(-LN(2)/2)*BR159+(1-EXP(-LN(2)/2))/(LN(2)/2)*BL160*BO160*VLOOKUP('Données projet'!$B$11,Paramètres!$A$1:$I$89,3,0)*0.475*44/12</f>
        <v>4.9101405959066405E-18</v>
      </c>
      <c r="BS160" s="24">
        <f t="shared" si="169"/>
        <v>1.4683650535016943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511.90735198545303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314.1401276393035</v>
      </c>
      <c r="T161" s="62">
        <f t="shared" si="142"/>
        <v>243.75878492878178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1.1613909412371026</v>
      </c>
      <c r="AA161" s="23">
        <f>EXP(-LN(2)/25)*AA160+(1-EXP(-LN(2)/25))/(LN(2)/25)*Calculateur!V161*Calculateur!X161*VLOOKUP('Données projet'!$B$9,Paramètres!$A$1:$I$89,3,0)*0.475*44/12</f>
        <v>0.22713006706688466</v>
      </c>
      <c r="AB161" s="23">
        <f>EXP(-LN(2)/2)*AB160+(1-EXP(-LN(2)/2))/(LN(2)/2)*V161*Y161*VLOOKUP('Données projet'!$B$9,Paramètres!$A$1:$I$89,3,0)*0.475*44/12</f>
        <v>3.2355961619247304E-17</v>
      </c>
      <c r="AC161" s="24">
        <f t="shared" si="163"/>
        <v>1.3885210083039872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293.33333333333616</v>
      </c>
      <c r="AN161" s="62">
        <f ca="1">AVERAGE(OFFSET($AM$3,0,0,'Données projet'!$E$10+1,1))-AVERAGE(OFFSET($H$3,0,0,'Données projet'!$E$10+1,1))</f>
        <v>272.85581758101404</v>
      </c>
      <c r="AO161" s="62">
        <f t="shared" si="144"/>
        <v>180.73985910201225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1.0373150242040975E-18</v>
      </c>
      <c r="AX161" s="23">
        <f t="shared" si="166"/>
        <v>1.0373150242040975E-18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282.598842734946</v>
      </c>
      <c r="BJ161" s="62">
        <f t="shared" si="146"/>
        <v>335.56869428808034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0.97117013095331051</v>
      </c>
      <c r="BQ161" s="23">
        <f>EXP(-LN(2)/25)*BQ160+(1-EXP(-LN(2)/25))/(LN(2)/25)*Calculateur!BL161*Calculateur!BN161*VLOOKUP('Données projet'!$B$11,Paramètres!$A$1:$I$89,3,0)*0.475*44/12</f>
        <v>0.46470531231105461</v>
      </c>
      <c r="BR161" s="23">
        <f>EXP(-LN(2)/2)*BR160+(1-EXP(-LN(2)/2))/(LN(2)/2)*BL161*BO161*VLOOKUP('Données projet'!$B$11,Paramètres!$A$1:$I$89,3,0)*0.475*44/12</f>
        <v>3.4719937119449409E-18</v>
      </c>
      <c r="BS161" s="24">
        <f t="shared" si="169"/>
        <v>1.435875443264365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513.48329302055924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314.1401276393035</v>
      </c>
      <c r="T162" s="62">
        <f t="shared" si="142"/>
        <v>243.75878492878178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1.1386167732579706</v>
      </c>
      <c r="AA162" s="23">
        <f>EXP(-LN(2)/25)*AA161+(1-EXP(-LN(2)/25))/(LN(2)/25)*Calculateur!V162*Calculateur!X162*VLOOKUP('Données projet'!$B$9,Paramètres!$A$1:$I$89,3,0)*0.475*44/12</f>
        <v>0.22091918343868958</v>
      </c>
      <c r="AB162" s="23">
        <f>EXP(-LN(2)/2)*AB161+(1-EXP(-LN(2)/2))/(LN(2)/2)*V162*Y162*VLOOKUP('Données projet'!$B$9,Paramètres!$A$1:$I$89,3,0)*0.475*44/12</f>
        <v>2.2879119872781434E-17</v>
      </c>
      <c r="AC162" s="24">
        <f t="shared" si="163"/>
        <v>1.3595359566966603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293.33333333333616</v>
      </c>
      <c r="AN162" s="62">
        <f ca="1">AVERAGE(OFFSET($AM$3,0,0,'Données projet'!$E$10+1,1))-AVERAGE(OFFSET($H$3,0,0,'Données projet'!$E$10+1,1))</f>
        <v>272.85581758101404</v>
      </c>
      <c r="AO162" s="62">
        <f t="shared" si="144"/>
        <v>180.73985910201225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7.3349248784140501E-19</v>
      </c>
      <c r="AX162" s="23">
        <f t="shared" si="166"/>
        <v>7.3349248784140501E-19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282.598842734946</v>
      </c>
      <c r="BJ162" s="62">
        <f t="shared" si="146"/>
        <v>335.56869428808034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0.9521260770406057</v>
      </c>
      <c r="BQ162" s="23">
        <f>EXP(-LN(2)/25)*BQ161+(1-EXP(-LN(2)/25))/(LN(2)/25)*Calculateur!BL162*Calculateur!BN162*VLOOKUP('Données projet'!$B$11,Paramètres!$A$1:$I$89,3,0)*0.475*44/12</f>
        <v>0.45199792110811854</v>
      </c>
      <c r="BR162" s="23">
        <f>EXP(-LN(2)/2)*BR161+(1-EXP(-LN(2)/2))/(LN(2)/2)*BL162*BO162*VLOOKUP('Données projet'!$B$11,Paramètres!$A$1:$I$89,3,0)*0.475*44/12</f>
        <v>2.4550702979533203E-18</v>
      </c>
      <c r="BS162" s="24">
        <f t="shared" si="169"/>
        <v>1.4041239981487244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515.05901527950925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314.1401276393035</v>
      </c>
      <c r="T163" s="62">
        <f t="shared" si="142"/>
        <v>243.75878492878178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1.1162891928220386</v>
      </c>
      <c r="AA163" s="23">
        <f>EXP(-LN(2)/25)*AA162+(1-EXP(-LN(2)/25))/(LN(2)/25)*Calculateur!V163*Calculateur!X163*VLOOKUP('Données projet'!$B$9,Paramètres!$A$1:$I$89,3,0)*0.475*44/12</f>
        <v>0.21487813674992368</v>
      </c>
      <c r="AB163" s="23">
        <f>EXP(-LN(2)/2)*AB162+(1-EXP(-LN(2)/2))/(LN(2)/2)*V163*Y163*VLOOKUP('Données projet'!$B$9,Paramètres!$A$1:$I$89,3,0)*0.475*44/12</f>
        <v>1.6177980809623652E-17</v>
      </c>
      <c r="AC163" s="24">
        <f t="shared" si="163"/>
        <v>1.3311673295719624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293.33333333333616</v>
      </c>
      <c r="AN163" s="62">
        <f ca="1">AVERAGE(OFFSET($AM$3,0,0,'Données projet'!$E$10+1,1))-AVERAGE(OFFSET($H$3,0,0,'Données projet'!$E$10+1,1))</f>
        <v>272.85581758101404</v>
      </c>
      <c r="AO163" s="62">
        <f t="shared" si="144"/>
        <v>180.73985910201225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5.1865751210204874E-19</v>
      </c>
      <c r="AX163" s="23">
        <f t="shared" si="166"/>
        <v>5.1865751210204874E-19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282.598842734946</v>
      </c>
      <c r="BJ163" s="62">
        <f t="shared" si="146"/>
        <v>335.56869428808034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0.93345546540940316</v>
      </c>
      <c r="BQ163" s="23">
        <f>EXP(-LN(2)/25)*BQ162+(1-EXP(-LN(2)/25))/(LN(2)/25)*Calculateur!BL163*Calculateur!BN163*VLOOKUP('Données projet'!$B$11,Paramètres!$A$1:$I$89,3,0)*0.475*44/12</f>
        <v>0.43963801418587944</v>
      </c>
      <c r="BR163" s="23">
        <f>EXP(-LN(2)/2)*BR162+(1-EXP(-LN(2)/2))/(LN(2)/2)*BL163*BO163*VLOOKUP('Données projet'!$B$11,Paramètres!$A$1:$I$89,3,0)*0.475*44/12</f>
        <v>1.7359968559724705E-18</v>
      </c>
      <c r="BS163" s="24">
        <f t="shared" si="169"/>
        <v>1.3730934795952825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516.6345202882784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314.1401276393035</v>
      </c>
      <c r="T164" s="62">
        <f t="shared" si="142"/>
        <v>243.75878492878178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1.0943994426199759</v>
      </c>
      <c r="AA164" s="23">
        <f>EXP(-LN(2)/25)*AA163+(1-EXP(-LN(2)/25))/(LN(2)/25)*Calculateur!V164*Calculateur!X164*VLOOKUP('Données projet'!$B$9,Paramètres!$A$1:$I$89,3,0)*0.475*44/12</f>
        <v>0.20900228280054692</v>
      </c>
      <c r="AB164" s="23">
        <f>EXP(-LN(2)/2)*AB163+(1-EXP(-LN(2)/2))/(LN(2)/2)*V164*Y164*VLOOKUP('Données projet'!$B$9,Paramètres!$A$1:$I$89,3,0)*0.475*44/12</f>
        <v>1.1439559936390717E-17</v>
      </c>
      <c r="AC164" s="24">
        <f t="shared" si="163"/>
        <v>1.3034017254205228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293.33333333333616</v>
      </c>
      <c r="AN164" s="62">
        <f ca="1">AVERAGE(OFFSET($AM$3,0,0,'Données projet'!$E$10+1,1))-AVERAGE(OFFSET($H$3,0,0,'Données projet'!$E$10+1,1))</f>
        <v>272.85581758101404</v>
      </c>
      <c r="AO164" s="62">
        <f t="shared" si="144"/>
        <v>180.73985910201225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3.6674624392070251E-19</v>
      </c>
      <c r="AX164" s="23">
        <f t="shared" si="166"/>
        <v>3.6674624392070251E-19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282.598842734946</v>
      </c>
      <c r="BJ164" s="62">
        <f t="shared" si="146"/>
        <v>335.56869428808034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0.9151509730843399</v>
      </c>
      <c r="BQ164" s="23">
        <f>EXP(-LN(2)/25)*BQ163+(1-EXP(-LN(2)/25))/(LN(2)/25)*Calculateur!BL164*Calculateur!BN164*VLOOKUP('Données projet'!$B$11,Paramètres!$A$1:$I$89,3,0)*0.475*44/12</f>
        <v>0.42761608956840819</v>
      </c>
      <c r="BR164" s="23">
        <f>EXP(-LN(2)/2)*BR163+(1-EXP(-LN(2)/2))/(LN(2)/2)*BL164*BO164*VLOOKUP('Données projet'!$B$11,Paramètres!$A$1:$I$89,3,0)*0.475*44/12</f>
        <v>1.2275351489766601E-18</v>
      </c>
      <c r="BS164" s="24">
        <f t="shared" si="169"/>
        <v>1.3427670626527481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518.20980955278969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314.1401276393035</v>
      </c>
      <c r="T165" s="62">
        <f t="shared" si="142"/>
        <v>243.75878492878178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1.0729389370679463</v>
      </c>
      <c r="AA165" s="23">
        <f>EXP(-LN(2)/25)*AA164+(1-EXP(-LN(2)/25))/(LN(2)/25)*Calculateur!V165*Calculateur!X165*VLOOKUP('Données projet'!$B$9,Paramètres!$A$1:$I$89,3,0)*0.475*44/12</f>
        <v>0.20328710438641359</v>
      </c>
      <c r="AB165" s="23">
        <f>EXP(-LN(2)/2)*AB164+(1-EXP(-LN(2)/2))/(LN(2)/2)*V165*Y165*VLOOKUP('Données projet'!$B$9,Paramètres!$A$1:$I$89,3,0)*0.475*44/12</f>
        <v>8.088990404811826E-18</v>
      </c>
      <c r="AC165" s="24">
        <f t="shared" si="163"/>
        <v>1.2762260414543598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293.33333333333616</v>
      </c>
      <c r="AN165" s="62">
        <f ca="1">AVERAGE(OFFSET($AM$3,0,0,'Données projet'!$E$10+1,1))-AVERAGE(OFFSET($H$3,0,0,'Données projet'!$E$10+1,1))</f>
        <v>272.85581758101404</v>
      </c>
      <c r="AO165" s="62">
        <f t="shared" si="144"/>
        <v>180.73985910201225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2.5932875605102437E-19</v>
      </c>
      <c r="AX165" s="23">
        <f t="shared" si="166"/>
        <v>2.5932875605102437E-19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282.598842734946</v>
      </c>
      <c r="BJ165" s="62">
        <f t="shared" si="146"/>
        <v>335.56869428808034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0.89720542068913323</v>
      </c>
      <c r="BQ165" s="23">
        <f>EXP(-LN(2)/25)*BQ164+(1-EXP(-LN(2)/25))/(LN(2)/25)*Calculateur!BL165*Calculateur!BN165*VLOOKUP('Données projet'!$B$11,Paramètres!$A$1:$I$89,3,0)*0.475*44/12</f>
        <v>0.41592290511180724</v>
      </c>
      <c r="BR165" s="23">
        <f>EXP(-LN(2)/2)*BR164+(1-EXP(-LN(2)/2))/(LN(2)/2)*BL165*BO165*VLOOKUP('Données projet'!$B$11,Paramètres!$A$1:$I$89,3,0)*0.475*44/12</f>
        <v>8.6799842798623523E-19</v>
      </c>
      <c r="BS165" s="24">
        <f t="shared" si="169"/>
        <v>1.3131283258009405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519.78488455929892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314.1401276393035</v>
      </c>
      <c r="T166" s="62">
        <f t="shared" si="142"/>
        <v>243.75878492878178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1.0518992589401761</v>
      </c>
      <c r="AA166" s="23">
        <f>EXP(-LN(2)/25)*AA165+(1-EXP(-LN(2)/25))/(LN(2)/25)*Calculateur!V166*Calculateur!X166*VLOOKUP('Données projet'!$B$9,Paramètres!$A$1:$I$89,3,0)*0.475*44/12</f>
        <v>0.19772820782656292</v>
      </c>
      <c r="AB166" s="23">
        <f>EXP(-LN(2)/2)*AB165+(1-EXP(-LN(2)/2))/(LN(2)/2)*V166*Y166*VLOOKUP('Données projet'!$B$9,Paramètres!$A$1:$I$89,3,0)*0.475*44/12</f>
        <v>5.7197799681953585E-18</v>
      </c>
      <c r="AC166" s="24">
        <f t="shared" si="163"/>
        <v>1.2496274667667391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293.33333333333616</v>
      </c>
      <c r="AN166" s="62">
        <f ca="1">AVERAGE(OFFSET($AM$3,0,0,'Données projet'!$E$10+1,1))-AVERAGE(OFFSET($H$3,0,0,'Données projet'!$E$10+1,1))</f>
        <v>272.85581758101404</v>
      </c>
      <c r="AO166" s="62">
        <f t="shared" si="144"/>
        <v>180.73985910201225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1.8337312196035125E-19</v>
      </c>
      <c r="AX166" s="23">
        <f t="shared" si="166"/>
        <v>1.8337312196035125E-19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282.598842734946</v>
      </c>
      <c r="BJ166" s="62">
        <f t="shared" si="146"/>
        <v>335.56869428808034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0.87961176963069032</v>
      </c>
      <c r="BQ166" s="23">
        <f>EXP(-LN(2)/25)*BQ165+(1-EXP(-LN(2)/25))/(LN(2)/25)*Calculateur!BL166*Calculateur!BN166*VLOOKUP('Données projet'!$B$11,Paramètres!$A$1:$I$89,3,0)*0.475*44/12</f>
        <v>0.40454947139908992</v>
      </c>
      <c r="BR166" s="23">
        <f>EXP(-LN(2)/2)*BR165+(1-EXP(-LN(2)/2))/(LN(2)/2)*BL166*BO166*VLOOKUP('Données projet'!$B$11,Paramètres!$A$1:$I$89,3,0)*0.475*44/12</f>
        <v>6.1376757448833006E-19</v>
      </c>
      <c r="BS166" s="24">
        <f t="shared" si="169"/>
        <v>1.2841612410297802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521.35974677477066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314.1401276393035</v>
      </c>
      <c r="T167" s="62">
        <f t="shared" si="142"/>
        <v>243.75878492878178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1.0312721560675548</v>
      </c>
      <c r="AA167" s="23">
        <f>EXP(-LN(2)/25)*AA166+(1-EXP(-LN(2)/25))/(LN(2)/25)*Calculateur!V167*Calculateur!X167*VLOOKUP('Données projet'!$B$9,Paramètres!$A$1:$I$89,3,0)*0.475*44/12</f>
        <v>0.19232131958547102</v>
      </c>
      <c r="AB167" s="23">
        <f>EXP(-LN(2)/2)*AB166+(1-EXP(-LN(2)/2))/(LN(2)/2)*V167*Y167*VLOOKUP('Données projet'!$B$9,Paramètres!$A$1:$I$89,3,0)*0.475*44/12</f>
        <v>4.044495202405913E-18</v>
      </c>
      <c r="AC167" s="24">
        <f t="shared" si="163"/>
        <v>1.2235934756530258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293.33333333333616</v>
      </c>
      <c r="AN167" s="62">
        <f ca="1">AVERAGE(OFFSET($AM$3,0,0,'Données projet'!$E$10+1,1))-AVERAGE(OFFSET($H$3,0,0,'Données projet'!$E$10+1,1))</f>
        <v>272.85581758101404</v>
      </c>
      <c r="AO167" s="62">
        <f t="shared" si="144"/>
        <v>180.73985910201225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1.2966437802551218E-19</v>
      </c>
      <c r="AX167" s="23">
        <f t="shared" si="166"/>
        <v>1.2966437802551218E-19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282.598842734946</v>
      </c>
      <c r="BJ167" s="62">
        <f t="shared" si="146"/>
        <v>335.56869428808034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0.86236311933843601</v>
      </c>
      <c r="BQ167" s="23">
        <f>EXP(-LN(2)/25)*BQ166+(1-EXP(-LN(2)/25))/(LN(2)/25)*Calculateur!BL167*Calculateur!BN167*VLOOKUP('Données projet'!$B$11,Paramètres!$A$1:$I$89,3,0)*0.475*44/12</f>
        <v>0.39348704482934971</v>
      </c>
      <c r="BR167" s="23">
        <f>EXP(-LN(2)/2)*BR166+(1-EXP(-LN(2)/2))/(LN(2)/2)*BL167*BO167*VLOOKUP('Données projet'!$B$11,Paramètres!$A$1:$I$89,3,0)*0.475*44/12</f>
        <v>4.3399921399311762E-19</v>
      </c>
      <c r="BS167" s="24">
        <f t="shared" si="169"/>
        <v>1.2558501641677857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522.93439764724519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314.1401276393035</v>
      </c>
      <c r="T168" s="62">
        <f t="shared" si="142"/>
        <v>243.75878492878178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1.0110495381009754</v>
      </c>
      <c r="AA168" s="23">
        <f>EXP(-LN(2)/25)*AA167+(1-EXP(-LN(2)/25))/(LN(2)/25)*Calculateur!V168*Calculateur!X168*VLOOKUP('Données projet'!$B$9,Paramètres!$A$1:$I$89,3,0)*0.475*44/12</f>
        <v>0.18706228298766767</v>
      </c>
      <c r="AB168" s="23">
        <f>EXP(-LN(2)/2)*AB167+(1-EXP(-LN(2)/2))/(LN(2)/2)*V168*Y168*VLOOKUP('Données projet'!$B$9,Paramètres!$A$1:$I$89,3,0)*0.475*44/12</f>
        <v>2.8598899840976792E-18</v>
      </c>
      <c r="AC168" s="24">
        <f t="shared" si="163"/>
        <v>1.198111821088643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293.33333333333616</v>
      </c>
      <c r="AN168" s="62">
        <f ca="1">AVERAGE(OFFSET($AM$3,0,0,'Données projet'!$E$10+1,1))-AVERAGE(OFFSET($H$3,0,0,'Données projet'!$E$10+1,1))</f>
        <v>272.85581758101404</v>
      </c>
      <c r="AO168" s="62">
        <f t="shared" si="144"/>
        <v>180.73985910201225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9.1686560980175627E-20</v>
      </c>
      <c r="AX168" s="23">
        <f t="shared" si="166"/>
        <v>9.1686560980175627E-20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282.598842734946</v>
      </c>
      <c r="BJ168" s="62">
        <f t="shared" si="146"/>
        <v>335.56869428808034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0.84545270455777488</v>
      </c>
      <c r="BQ168" s="23">
        <f>EXP(-LN(2)/25)*BQ167+(1-EXP(-LN(2)/25))/(LN(2)/25)*Calculateur!BL168*Calculateur!BN168*VLOOKUP('Données projet'!$B$11,Paramètres!$A$1:$I$89,3,0)*0.475*44/12</f>
        <v>0.38272712089590677</v>
      </c>
      <c r="BR168" s="23">
        <f>EXP(-LN(2)/2)*BR167+(1-EXP(-LN(2)/2))/(LN(2)/2)*BL168*BO168*VLOOKUP('Données projet'!$B$11,Paramètres!$A$1:$I$89,3,0)*0.475*44/12</f>
        <v>3.0688378724416503E-19</v>
      </c>
      <c r="BS168" s="24">
        <f t="shared" si="169"/>
        <v>1.2281798254536818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524.50883860619535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314.1401276393035</v>
      </c>
      <c r="T169" s="62">
        <f t="shared" si="142"/>
        <v>243.75878492878178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0.99122347333814154</v>
      </c>
      <c r="AA169" s="23">
        <f>EXP(-LN(2)/25)*AA168+(1-EXP(-LN(2)/25))/(LN(2)/25)*Calculateur!V169*Calculateur!X169*VLOOKUP('Données projet'!$B$9,Paramètres!$A$1:$I$89,3,0)*0.475*44/12</f>
        <v>0.18194705502219197</v>
      </c>
      <c r="AB169" s="23">
        <f>EXP(-LN(2)/2)*AB168+(1-EXP(-LN(2)/2))/(LN(2)/2)*V169*Y169*VLOOKUP('Données projet'!$B$9,Paramètres!$A$1:$I$89,3,0)*0.475*44/12</f>
        <v>2.0222476012029565E-18</v>
      </c>
      <c r="AC169" s="24">
        <f t="shared" si="163"/>
        <v>1.1731705283603335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293.33333333333616</v>
      </c>
      <c r="AN169" s="62">
        <f ca="1">AVERAGE(OFFSET($AM$3,0,0,'Données projet'!$E$10+1,1))-AVERAGE(OFFSET($H$3,0,0,'Données projet'!$E$10+1,1))</f>
        <v>272.85581758101404</v>
      </c>
      <c r="AO169" s="62">
        <f t="shared" si="144"/>
        <v>180.73985910201225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6.4832189012756092E-20</v>
      </c>
      <c r="AX169" s="23">
        <f t="shared" si="166"/>
        <v>6.4832189012756092E-20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282.598842734946</v>
      </c>
      <c r="BJ169" s="62">
        <f t="shared" si="146"/>
        <v>335.56869428808034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0.82887389269662803</v>
      </c>
      <c r="BQ169" s="23">
        <f>EXP(-LN(2)/25)*BQ168+(1-EXP(-LN(2)/25))/(LN(2)/25)*Calculateur!BL169*Calculateur!BN169*VLOOKUP('Données projet'!$B$11,Paramètres!$A$1:$I$89,3,0)*0.475*44/12</f>
        <v>0.37226142764826364</v>
      </c>
      <c r="BR169" s="23">
        <f>EXP(-LN(2)/2)*BR168+(1-EXP(-LN(2)/2))/(LN(2)/2)*BL169*BO169*VLOOKUP('Données projet'!$B$11,Paramètres!$A$1:$I$89,3,0)*0.475*44/12</f>
        <v>2.1699960699655881E-19</v>
      </c>
      <c r="BS169" s="24">
        <f t="shared" si="169"/>
        <v>1.2011353203448918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526.08307106287509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314.1401276393035</v>
      </c>
      <c r="T170" s="62">
        <f t="shared" si="142"/>
        <v>243.75878492878178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0.97178618561260133</v>
      </c>
      <c r="AA170" s="23">
        <f>EXP(-LN(2)/25)*AA169+(1-EXP(-LN(2)/25))/(LN(2)/25)*Calculateur!V170*Calculateur!X170*VLOOKUP('Données projet'!$B$9,Paramètres!$A$1:$I$89,3,0)*0.475*44/12</f>
        <v>0.17697170323443034</v>
      </c>
      <c r="AB170" s="23">
        <f>EXP(-LN(2)/2)*AB169+(1-EXP(-LN(2)/2))/(LN(2)/2)*V170*Y170*VLOOKUP('Données projet'!$B$9,Paramètres!$A$1:$I$89,3,0)*0.475*44/12</f>
        <v>1.4299449920488396E-18</v>
      </c>
      <c r="AC170" s="24">
        <f t="shared" si="163"/>
        <v>1.1487578888470318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293.33333333333616</v>
      </c>
      <c r="AN170" s="62">
        <f ca="1">AVERAGE(OFFSET($AM$3,0,0,'Données projet'!$E$10+1,1))-AVERAGE(OFFSET($H$3,0,0,'Données projet'!$E$10+1,1))</f>
        <v>272.85581758101404</v>
      </c>
      <c r="AO170" s="62">
        <f t="shared" si="144"/>
        <v>180.73985910201225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4.5843280490087813E-20</v>
      </c>
      <c r="AX170" s="23">
        <f t="shared" si="166"/>
        <v>4.5843280490087813E-20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282.598842734946</v>
      </c>
      <c r="BJ170" s="62">
        <f t="shared" si="146"/>
        <v>335.56869428808034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0.81262018122400148</v>
      </c>
      <c r="BQ170" s="23">
        <f>EXP(-LN(2)/25)*BQ169+(1-EXP(-LN(2)/25))/(LN(2)/25)*Calculateur!BL170*Calculateur!BN170*VLOOKUP('Données projet'!$B$11,Paramètres!$A$1:$I$89,3,0)*0.475*44/12</f>
        <v>0.36208191933284423</v>
      </c>
      <c r="BR170" s="23">
        <f>EXP(-LN(2)/2)*BR169+(1-EXP(-LN(2)/2))/(LN(2)/2)*BL170*BO170*VLOOKUP('Données projet'!$B$11,Paramètres!$A$1:$I$89,3,0)*0.475*44/12</f>
        <v>1.5344189362208252E-19</v>
      </c>
      <c r="BS170" s="24">
        <f t="shared" si="169"/>
        <v>1.1747021005568457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527.65709641065928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314.1401276393035</v>
      </c>
      <c r="T171" s="62">
        <f t="shared" si="142"/>
        <v>243.75878492878178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0.95273005124378407</v>
      </c>
      <c r="AA171" s="23">
        <f>EXP(-LN(2)/25)*AA170+(1-EXP(-LN(2)/25))/(LN(2)/25)*Calculateur!V171*Calculateur!X171*VLOOKUP('Données projet'!$B$9,Paramètres!$A$1:$I$89,3,0)*0.475*44/12</f>
        <v>0.17213240270294744</v>
      </c>
      <c r="AB171" s="23">
        <f>EXP(-LN(2)/2)*AB170+(1-EXP(-LN(2)/2))/(LN(2)/2)*V171*Y171*VLOOKUP('Données projet'!$B$9,Paramètres!$A$1:$I$89,3,0)*0.475*44/12</f>
        <v>1.0111238006014783E-18</v>
      </c>
      <c r="AC171" s="24">
        <f t="shared" si="163"/>
        <v>1.1248624539467316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293.33333333333616</v>
      </c>
      <c r="AN171" s="62">
        <f ca="1">AVERAGE(OFFSET($AM$3,0,0,'Données projet'!$E$10+1,1))-AVERAGE(OFFSET($H$3,0,0,'Données projet'!$E$10+1,1))</f>
        <v>272.85581758101404</v>
      </c>
      <c r="AO171" s="62">
        <f t="shared" si="144"/>
        <v>180.73985910201225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3.2416094506378046E-20</v>
      </c>
      <c r="AX171" s="23">
        <f t="shared" si="166"/>
        <v>3.2416094506378046E-20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282.598842734946</v>
      </c>
      <c r="BJ171" s="62">
        <f t="shared" si="146"/>
        <v>335.56869428808034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0.79668519511956803</v>
      </c>
      <c r="BQ171" s="23">
        <f>EXP(-LN(2)/25)*BQ170+(1-EXP(-LN(2)/25))/(LN(2)/25)*Calculateur!BL171*Calculateur!BN171*VLOOKUP('Données projet'!$B$11,Paramètres!$A$1:$I$89,3,0)*0.475*44/12</f>
        <v>0.352180770207627</v>
      </c>
      <c r="BR171" s="23">
        <f>EXP(-LN(2)/2)*BR170+(1-EXP(-LN(2)/2))/(LN(2)/2)*BL171*BO171*VLOOKUP('Données projet'!$B$11,Paramètres!$A$1:$I$89,3,0)*0.475*44/12</f>
        <v>1.084998034982794E-19</v>
      </c>
      <c r="BS171" s="24">
        <f t="shared" si="169"/>
        <v>1.1488659653271951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529.23091602537556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314.1401276393035</v>
      </c>
      <c r="T172" s="62">
        <f t="shared" si="142"/>
        <v>243.75878492878178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0.93404759604684506</v>
      </c>
      <c r="AA172" s="23">
        <f>EXP(-LN(2)/25)*AA171+(1-EXP(-LN(2)/25))/(LN(2)/25)*Calculateur!V172*Calculateur!X172*VLOOKUP('Données projet'!$B$9,Paramètres!$A$1:$I$89,3,0)*0.475*44/12</f>
        <v>0.16742543309898569</v>
      </c>
      <c r="AB172" s="23">
        <f>EXP(-LN(2)/2)*AB171+(1-EXP(-LN(2)/2))/(LN(2)/2)*V172*Y172*VLOOKUP('Données projet'!$B$9,Paramètres!$A$1:$I$89,3,0)*0.475*44/12</f>
        <v>7.1497249602441981E-19</v>
      </c>
      <c r="AC172" s="24">
        <f t="shared" si="163"/>
        <v>1.1014730291458308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293.33333333333616</v>
      </c>
      <c r="AN172" s="62">
        <f ca="1">AVERAGE(OFFSET($AM$3,0,0,'Données projet'!$E$10+1,1))-AVERAGE(OFFSET($H$3,0,0,'Données projet'!$E$10+1,1))</f>
        <v>272.85581758101404</v>
      </c>
      <c r="AO172" s="62">
        <f t="shared" si="144"/>
        <v>180.73985910201225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2.2921640245043907E-20</v>
      </c>
      <c r="AX172" s="23">
        <f t="shared" si="166"/>
        <v>2.2921640245043907E-20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282.598842734946</v>
      </c>
      <c r="BJ172" s="62">
        <f t="shared" si="146"/>
        <v>335.56869428808034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0.78106268437326076</v>
      </c>
      <c r="BQ172" s="23">
        <f>EXP(-LN(2)/25)*BQ171+(1-EXP(-LN(2)/25))/(LN(2)/25)*Calculateur!BL172*Calculateur!BN172*VLOOKUP('Données projet'!$B$11,Paramètres!$A$1:$I$89,3,0)*0.475*44/12</f>
        <v>0.34255036852591764</v>
      </c>
      <c r="BR172" s="23">
        <f>EXP(-LN(2)/2)*BR171+(1-EXP(-LN(2)/2))/(LN(2)/2)*BL172*BO172*VLOOKUP('Données projet'!$B$11,Paramètres!$A$1:$I$89,3,0)*0.475*44/12</f>
        <v>7.6720946811041258E-20</v>
      </c>
      <c r="BS172" s="24">
        <f t="shared" si="169"/>
        <v>1.1236130528991783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530.80453126562747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314.1401276393035</v>
      </c>
      <c r="T173" s="62">
        <f t="shared" si="142"/>
        <v>243.75878492878178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0.9157314924011456</v>
      </c>
      <c r="AA173" s="23">
        <f>EXP(-LN(2)/25)*AA172+(1-EXP(-LN(2)/25))/(LN(2)/25)*Calculateur!V173*Calculateur!X173*VLOOKUP('Données projet'!$B$9,Paramètres!$A$1:$I$89,3,0)*0.475*44/12</f>
        <v>0.16284717582637306</v>
      </c>
      <c r="AB173" s="23">
        <f>EXP(-LN(2)/2)*AB172+(1-EXP(-LN(2)/2))/(LN(2)/2)*V173*Y173*VLOOKUP('Données projet'!$B$9,Paramètres!$A$1:$I$89,3,0)*0.475*44/12</f>
        <v>5.0556190030073913E-19</v>
      </c>
      <c r="AC173" s="24">
        <f t="shared" si="163"/>
        <v>1.0785786682275187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293.33333333333616</v>
      </c>
      <c r="AN173" s="62">
        <f ca="1">AVERAGE(OFFSET($AM$3,0,0,'Données projet'!$E$10+1,1))-AVERAGE(OFFSET($H$3,0,0,'Données projet'!$E$10+1,1))</f>
        <v>272.85581758101404</v>
      </c>
      <c r="AO173" s="62">
        <f t="shared" si="144"/>
        <v>180.73985910201225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1.6208047253189023E-20</v>
      </c>
      <c r="AX173" s="23">
        <f t="shared" si="166"/>
        <v>1.6208047253189023E-20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282.598842734946</v>
      </c>
      <c r="BJ173" s="62">
        <f t="shared" si="146"/>
        <v>335.56869428808034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0.76574652153389788</v>
      </c>
      <c r="BQ173" s="23">
        <f>EXP(-LN(2)/25)*BQ172+(1-EXP(-LN(2)/25))/(LN(2)/25)*Calculateur!BL173*Calculateur!BN173*VLOOKUP('Données projet'!$B$11,Paramètres!$A$1:$I$89,3,0)*0.475*44/12</f>
        <v>0.33318331068463547</v>
      </c>
      <c r="BR173" s="23">
        <f>EXP(-LN(2)/2)*BR172+(1-EXP(-LN(2)/2))/(LN(2)/2)*BL173*BO173*VLOOKUP('Données projet'!$B$11,Paramètres!$A$1:$I$89,3,0)*0.475*44/12</f>
        <v>5.4249901749139702E-20</v>
      </c>
      <c r="BS173" s="24">
        <f t="shared" si="169"/>
        <v>1.0989298322185332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532.37794347311024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314.1401276393035</v>
      </c>
      <c r="T174" s="62">
        <f t="shared" si="142"/>
        <v>243.75878492878178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0.89777455637621817</v>
      </c>
      <c r="AA174" s="23">
        <f>EXP(-LN(2)/25)*AA173+(1-EXP(-LN(2)/25))/(LN(2)/25)*Calculateur!V174*Calculateur!X174*VLOOKUP('Données projet'!$B$9,Paramètres!$A$1:$I$89,3,0)*0.475*44/12</f>
        <v>0.15839411123964012</v>
      </c>
      <c r="AB174" s="23">
        <f>EXP(-LN(2)/2)*AB173+(1-EXP(-LN(2)/2))/(LN(2)/2)*V174*Y174*VLOOKUP('Données projet'!$B$9,Paramètres!$A$1:$I$89,3,0)*0.475*44/12</f>
        <v>3.574862480122099E-19</v>
      </c>
      <c r="AC174" s="24">
        <f t="shared" si="163"/>
        <v>1.0561686676158584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293.33333333333616</v>
      </c>
      <c r="AN174" s="62">
        <f ca="1">AVERAGE(OFFSET($AM$3,0,0,'Données projet'!$E$10+1,1))-AVERAGE(OFFSET($H$3,0,0,'Données projet'!$E$10+1,1))</f>
        <v>272.85581758101404</v>
      </c>
      <c r="AO174" s="62">
        <f t="shared" si="144"/>
        <v>180.73985910201225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1.1460820122521953E-20</v>
      </c>
      <c r="AX174" s="23">
        <f t="shared" si="166"/>
        <v>1.1460820122521953E-20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282.598842734946</v>
      </c>
      <c r="BJ174" s="62">
        <f t="shared" si="146"/>
        <v>335.56869428808034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0.75073069930587799</v>
      </c>
      <c r="BQ174" s="23">
        <f>EXP(-LN(2)/25)*BQ173+(1-EXP(-LN(2)/25))/(LN(2)/25)*Calculateur!BL174*Calculateur!BN174*VLOOKUP('Données projet'!$B$11,Paramètres!$A$1:$I$89,3,0)*0.475*44/12</f>
        <v>0.3240723955326153</v>
      </c>
      <c r="BR174" s="23">
        <f>EXP(-LN(2)/2)*BR173+(1-EXP(-LN(2)/2))/(LN(2)/2)*BL174*BO174*VLOOKUP('Données projet'!$B$11,Paramètres!$A$1:$I$89,3,0)*0.475*44/12</f>
        <v>3.8360473405520629E-20</v>
      </c>
      <c r="BS174" s="24">
        <f t="shared" si="169"/>
        <v>1.0748030948384932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533.95115397291886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314.1401276393035</v>
      </c>
      <c r="T175" s="62">
        <f t="shared" si="142"/>
        <v>243.75878492878178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0.88016974491409006</v>
      </c>
      <c r="AA175" s="23">
        <f>EXP(-LN(2)/25)*AA174+(1-EXP(-LN(2)/25))/(LN(2)/25)*Calculateur!V175*Calculateur!X175*VLOOKUP('Données projet'!$B$9,Paramètres!$A$1:$I$89,3,0)*0.475*44/12</f>
        <v>0.15406281593820786</v>
      </c>
      <c r="AB175" s="23">
        <f>EXP(-LN(2)/2)*AB174+(1-EXP(-LN(2)/2))/(LN(2)/2)*V175*Y175*VLOOKUP('Données projet'!$B$9,Paramètres!$A$1:$I$89,3,0)*0.475*44/12</f>
        <v>2.5278095015036956E-19</v>
      </c>
      <c r="AC175" s="24">
        <f t="shared" si="163"/>
        <v>1.034232560852298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293.33333333333616</v>
      </c>
      <c r="AN175" s="62">
        <f ca="1">AVERAGE(OFFSET($AM$3,0,0,'Données projet'!$E$10+1,1))-AVERAGE(OFFSET($H$3,0,0,'Données projet'!$E$10+1,1))</f>
        <v>272.85581758101404</v>
      </c>
      <c r="AO175" s="62">
        <f t="shared" si="144"/>
        <v>180.73985910201225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8.1040236265945115E-21</v>
      </c>
      <c r="AX175" s="23">
        <f t="shared" si="166"/>
        <v>8.1040236265945115E-21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282.598842734946</v>
      </c>
      <c r="BJ175" s="62">
        <f t="shared" si="146"/>
        <v>335.56869428808034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0.73600932819300235</v>
      </c>
      <c r="BQ175" s="23">
        <f>EXP(-LN(2)/25)*BQ174+(1-EXP(-LN(2)/25))/(LN(2)/25)*Calculateur!BL175*Calculateur!BN175*VLOOKUP('Données projet'!$B$11,Paramètres!$A$1:$I$89,3,0)*0.475*44/12</f>
        <v>0.31521061883454932</v>
      </c>
      <c r="BR175" s="23">
        <f>EXP(-LN(2)/2)*BR174+(1-EXP(-LN(2)/2))/(LN(2)/2)*BL175*BO175*VLOOKUP('Données projet'!$B$11,Paramètres!$A$1:$I$89,3,0)*0.475*44/12</f>
        <v>2.7124950874569851E-20</v>
      </c>
      <c r="BS175" s="24">
        <f t="shared" si="169"/>
        <v>1.0512199470275516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535.52416407384874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314.1401276393035</v>
      </c>
      <c r="T176" s="62">
        <f t="shared" si="142"/>
        <v>243.75878492878178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0.86291015306685959</v>
      </c>
      <c r="AA176" s="23">
        <f>EXP(-LN(2)/25)*AA175+(1-EXP(-LN(2)/25))/(LN(2)/25)*Calculateur!V176*Calculateur!X176*VLOOKUP('Données projet'!$B$9,Paramètres!$A$1:$I$89,3,0)*0.475*44/12</f>
        <v>0.1498499601345662</v>
      </c>
      <c r="AB176" s="23">
        <f>EXP(-LN(2)/2)*AB175+(1-EXP(-LN(2)/2))/(LN(2)/2)*V176*Y176*VLOOKUP('Données projet'!$B$9,Paramètres!$A$1:$I$89,3,0)*0.475*44/12</f>
        <v>1.7874312400610495E-19</v>
      </c>
      <c r="AC176" s="24">
        <f t="shared" si="163"/>
        <v>1.0127601132014257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293.33333333333616</v>
      </c>
      <c r="AN176" s="62">
        <f ca="1">AVERAGE(OFFSET($AM$3,0,0,'Données projet'!$E$10+1,1))-AVERAGE(OFFSET($H$3,0,0,'Données projet'!$E$10+1,1))</f>
        <v>272.85581758101404</v>
      </c>
      <c r="AO176" s="62">
        <f t="shared" si="144"/>
        <v>180.73985910201225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5.7304100612609767E-21</v>
      </c>
      <c r="AX176" s="23">
        <f t="shared" si="166"/>
        <v>5.7304100612609767E-21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282.598842734946</v>
      </c>
      <c r="BJ176" s="62">
        <f t="shared" si="146"/>
        <v>335.56869428808034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0.72157663418850049</v>
      </c>
      <c r="BQ176" s="23">
        <f>EXP(-LN(2)/25)*BQ175+(1-EXP(-LN(2)/25))/(LN(2)/25)*Calculateur!BL176*Calculateur!BN176*VLOOKUP('Données projet'!$B$11,Paramètres!$A$1:$I$89,3,0)*0.475*44/12</f>
        <v>0.30659116788631252</v>
      </c>
      <c r="BR176" s="23">
        <f>EXP(-LN(2)/2)*BR175+(1-EXP(-LN(2)/2))/(LN(2)/2)*BL176*BO176*VLOOKUP('Données projet'!$B$11,Paramètres!$A$1:$I$89,3,0)*0.475*44/12</f>
        <v>1.9180236702760314E-20</v>
      </c>
      <c r="BS176" s="24">
        <f t="shared" si="169"/>
        <v>1.0281678020748131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537.0969750686894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314.1401276393035</v>
      </c>
      <c r="T177" s="62">
        <f t="shared" si="142"/>
        <v>243.75878492878178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0.84598901128844173</v>
      </c>
      <c r="AA177" s="23">
        <f>EXP(-LN(2)/25)*AA176+(1-EXP(-LN(2)/25))/(LN(2)/25)*Calculateur!V177*Calculateur!X177*VLOOKUP('Données projet'!$B$9,Paramètres!$A$1:$I$89,3,0)*0.475*44/12</f>
        <v>0.14575230509441955</v>
      </c>
      <c r="AB177" s="23">
        <f>EXP(-LN(2)/2)*AB176+(1-EXP(-LN(2)/2))/(LN(2)/2)*V177*Y177*VLOOKUP('Données projet'!$B$9,Paramètres!$A$1:$I$89,3,0)*0.475*44/12</f>
        <v>1.2639047507518478E-19</v>
      </c>
      <c r="AC177" s="24">
        <f t="shared" si="163"/>
        <v>0.99174131638286123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293.33333333333616</v>
      </c>
      <c r="AN177" s="62">
        <f ca="1">AVERAGE(OFFSET($AM$3,0,0,'Données projet'!$E$10+1,1))-AVERAGE(OFFSET($H$3,0,0,'Données projet'!$E$10+1,1))</f>
        <v>272.85581758101404</v>
      </c>
      <c r="AO177" s="62">
        <f t="shared" si="144"/>
        <v>180.73985910201225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4.0520118132972558E-21</v>
      </c>
      <c r="AX177" s="23">
        <f t="shared" si="166"/>
        <v>4.0520118132972558E-21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282.598842734946</v>
      </c>
      <c r="BJ177" s="62">
        <f t="shared" si="146"/>
        <v>335.56869428808034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0.70742695651035281</v>
      </c>
      <c r="BQ177" s="23">
        <f>EXP(-LN(2)/25)*BQ176+(1-EXP(-LN(2)/25))/(LN(2)/25)*Calculateur!BL177*Calculateur!BN177*VLOOKUP('Données projet'!$B$11,Paramètres!$A$1:$I$89,3,0)*0.475*44/12</f>
        <v>0.2982074162775325</v>
      </c>
      <c r="BR177" s="23">
        <f>EXP(-LN(2)/2)*BR176+(1-EXP(-LN(2)/2))/(LN(2)/2)*BL177*BO177*VLOOKUP('Données projet'!$B$11,Paramètres!$A$1:$I$89,3,0)*0.475*44/12</f>
        <v>1.3562475437284925E-20</v>
      </c>
      <c r="BS177" s="24">
        <f t="shared" si="169"/>
        <v>1.0056343727878854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538.66958823451057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314.1401276393035</v>
      </c>
      <c r="T178" s="62">
        <f t="shared" si="142"/>
        <v>243.75878492878178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0.82939968277942122</v>
      </c>
      <c r="AA178" s="23">
        <f>EXP(-LN(2)/25)*AA177+(1-EXP(-LN(2)/25))/(LN(2)/25)*Calculateur!V178*Calculateur!X178*VLOOKUP('Données projet'!$B$9,Paramètres!$A$1:$I$89,3,0)*0.475*44/12</f>
        <v>0.14176670064683206</v>
      </c>
      <c r="AB178" s="23">
        <f>EXP(-LN(2)/2)*AB177+(1-EXP(-LN(2)/2))/(LN(2)/2)*V178*Y178*VLOOKUP('Données projet'!$B$9,Paramètres!$A$1:$I$89,3,0)*0.475*44/12</f>
        <v>8.9371562003052476E-20</v>
      </c>
      <c r="AC178" s="24">
        <f t="shared" si="163"/>
        <v>0.97116638342625328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293.33333333333616</v>
      </c>
      <c r="AN178" s="62">
        <f ca="1">AVERAGE(OFFSET($AM$3,0,0,'Données projet'!$E$10+1,1))-AVERAGE(OFFSET($H$3,0,0,'Données projet'!$E$10+1,1))</f>
        <v>272.85581758101404</v>
      </c>
      <c r="AO178" s="62">
        <f t="shared" si="144"/>
        <v>180.73985910201225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2.8652050306304883E-21</v>
      </c>
      <c r="AX178" s="23">
        <f t="shared" si="166"/>
        <v>2.8652050306304883E-21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282.598842734946</v>
      </c>
      <c r="BJ178" s="62">
        <f t="shared" si="146"/>
        <v>335.56869428808034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0.69355474538102235</v>
      </c>
      <c r="BQ178" s="23">
        <f>EXP(-LN(2)/25)*BQ177+(1-EXP(-LN(2)/25))/(LN(2)/25)*Calculateur!BL178*Calculateur!BN178*VLOOKUP('Données projet'!$B$11,Paramètres!$A$1:$I$89,3,0)*0.475*44/12</f>
        <v>0.29005291879737694</v>
      </c>
      <c r="BR178" s="23">
        <f>EXP(-LN(2)/2)*BR177+(1-EXP(-LN(2)/2))/(LN(2)/2)*BL178*BO178*VLOOKUP('Données projet'!$B$11,Paramètres!$A$1:$I$89,3,0)*0.475*44/12</f>
        <v>9.5901183513801572E-21</v>
      </c>
      <c r="BS178" s="24">
        <f t="shared" si="169"/>
        <v>0.98360766417839929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540.24200483294248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314.1401276393035</v>
      </c>
      <c r="T179" s="62">
        <f t="shared" si="142"/>
        <v>243.75878492878178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0.81313566088397138</v>
      </c>
      <c r="AA179" s="23">
        <f>EXP(-LN(2)/25)*AA178+(1-EXP(-LN(2)/25))/(LN(2)/25)*Calculateur!V179*Calculateur!X179*VLOOKUP('Données projet'!$B$9,Paramètres!$A$1:$I$89,3,0)*0.475*44/12</f>
        <v>0.13789008276245765</v>
      </c>
      <c r="AB179" s="23">
        <f>EXP(-LN(2)/2)*AB178+(1-EXP(-LN(2)/2))/(LN(2)/2)*V179*Y179*VLOOKUP('Données projet'!$B$9,Paramètres!$A$1:$I$89,3,0)*0.475*44/12</f>
        <v>6.3195237537592391E-20</v>
      </c>
      <c r="AC179" s="24">
        <f t="shared" si="163"/>
        <v>0.951025743646429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293.33333333333616</v>
      </c>
      <c r="AN179" s="62">
        <f ca="1">AVERAGE(OFFSET($AM$3,0,0,'Données projet'!$E$10+1,1))-AVERAGE(OFFSET($H$3,0,0,'Données projet'!$E$10+1,1))</f>
        <v>272.85581758101404</v>
      </c>
      <c r="AO179" s="62">
        <f t="shared" si="144"/>
        <v>180.73985910201225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2.0260059066486279E-21</v>
      </c>
      <c r="AX179" s="23">
        <f t="shared" si="166"/>
        <v>2.0260059066486279E-21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282.598842734946</v>
      </c>
      <c r="BJ179" s="62">
        <f t="shared" si="146"/>
        <v>335.56869428808034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0.67995455985072473</v>
      </c>
      <c r="BQ179" s="23">
        <f>EXP(-LN(2)/25)*BQ178+(1-EXP(-LN(2)/25))/(LN(2)/25)*Calculateur!BL179*Calculateur!BN179*VLOOKUP('Données projet'!$B$11,Paramètres!$A$1:$I$89,3,0)*0.475*44/12</f>
        <v>0.28212140647964257</v>
      </c>
      <c r="BR179" s="23">
        <f>EXP(-LN(2)/2)*BR178+(1-EXP(-LN(2)/2))/(LN(2)/2)*BL179*BO179*VLOOKUP('Données projet'!$B$11,Paramètres!$A$1:$I$89,3,0)*0.475*44/12</f>
        <v>6.7812377186424627E-21</v>
      </c>
      <c r="BS179" s="24">
        <f t="shared" si="169"/>
        <v>0.96207596633036729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541.81422611044923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314.1401276393035</v>
      </c>
      <c r="T180" s="62">
        <f t="shared" si="142"/>
        <v>243.75878492878178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0.7971905665378175</v>
      </c>
      <c r="AA180" s="23">
        <f>EXP(-LN(2)/25)*AA179+(1-EXP(-LN(2)/25))/(LN(2)/25)*Calculateur!V180*Calculateur!X180*VLOOKUP('Données projet'!$B$9,Paramètres!$A$1:$I$89,3,0)*0.475*44/12</f>
        <v>0.13411947119799394</v>
      </c>
      <c r="AB180" s="23">
        <f>EXP(-LN(2)/2)*AB179+(1-EXP(-LN(2)/2))/(LN(2)/2)*V180*Y180*VLOOKUP('Données projet'!$B$9,Paramètres!$A$1:$I$89,3,0)*0.475*44/12</f>
        <v>4.4685781001526238E-20</v>
      </c>
      <c r="AC180" s="24">
        <f t="shared" si="163"/>
        <v>0.93131003773581145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293.33333333333616</v>
      </c>
      <c r="AN180" s="62">
        <f ca="1">AVERAGE(OFFSET($AM$3,0,0,'Données projet'!$E$10+1,1))-AVERAGE(OFFSET($H$3,0,0,'Données projet'!$E$10+1,1))</f>
        <v>272.85581758101404</v>
      </c>
      <c r="AO180" s="62">
        <f t="shared" si="144"/>
        <v>180.73985910201225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1.4326025153152442E-21</v>
      </c>
      <c r="AX180" s="23">
        <f t="shared" si="166"/>
        <v>1.4326025153152442E-21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282.598842734946</v>
      </c>
      <c r="BJ180" s="62">
        <f t="shared" si="146"/>
        <v>335.56869428808034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0.6666210656633822</v>
      </c>
      <c r="BQ180" s="23">
        <f>EXP(-LN(2)/25)*BQ179+(1-EXP(-LN(2)/25))/(LN(2)/25)*Calculateur!BL180*Calculateur!BN180*VLOOKUP('Données projet'!$B$11,Paramètres!$A$1:$I$89,3,0)*0.475*44/12</f>
        <v>0.27440678178333677</v>
      </c>
      <c r="BR180" s="23">
        <f>EXP(-LN(2)/2)*BR179+(1-EXP(-LN(2)/2))/(LN(2)/2)*BL180*BO180*VLOOKUP('Données projet'!$B$11,Paramètres!$A$1:$I$89,3,0)*0.475*44/12</f>
        <v>4.7950591756900786E-21</v>
      </c>
      <c r="BS180" s="24">
        <f t="shared" si="169"/>
        <v>0.94102784744671897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543.38625329859508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314.1401276393035</v>
      </c>
      <c r="T181" s="62">
        <f t="shared" si="142"/>
        <v>243.75878492878178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0.78155814576624449</v>
      </c>
      <c r="AA181" s="23">
        <f>EXP(-LN(2)/25)*AA180+(1-EXP(-LN(2)/25))/(LN(2)/25)*Calculateur!V181*Calculateur!X181*VLOOKUP('Données projet'!$B$9,Paramètres!$A$1:$I$89,3,0)*0.475*44/12</f>
        <v>0.13045196720504834</v>
      </c>
      <c r="AB181" s="23">
        <f>EXP(-LN(2)/2)*AB180+(1-EXP(-LN(2)/2))/(LN(2)/2)*V181*Y181*VLOOKUP('Données projet'!$B$9,Paramètres!$A$1:$I$89,3,0)*0.475*44/12</f>
        <v>3.1597618768796195E-20</v>
      </c>
      <c r="AC181" s="24">
        <f t="shared" si="163"/>
        <v>0.91201011297129286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293.33333333333616</v>
      </c>
      <c r="AN181" s="62">
        <f ca="1">AVERAGE(OFFSET($AM$3,0,0,'Données projet'!$E$10+1,1))-AVERAGE(OFFSET($H$3,0,0,'Données projet'!$E$10+1,1))</f>
        <v>272.85581758101404</v>
      </c>
      <c r="AO181" s="62">
        <f t="shared" si="144"/>
        <v>180.73985910201225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1.0130029533243139E-21</v>
      </c>
      <c r="AX181" s="23">
        <f t="shared" si="166"/>
        <v>1.0130029533243139E-21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282.598842734946</v>
      </c>
      <c r="BJ181" s="62">
        <f t="shared" si="146"/>
        <v>335.56869428808034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0.65354903316442503</v>
      </c>
      <c r="BQ181" s="23">
        <f>EXP(-LN(2)/25)*BQ180+(1-EXP(-LN(2)/25))/(LN(2)/25)*Calculateur!BL181*Calculateur!BN181*VLOOKUP('Données projet'!$B$11,Paramètres!$A$1:$I$89,3,0)*0.475*44/12</f>
        <v>0.26690311390504595</v>
      </c>
      <c r="BR181" s="23">
        <f>EXP(-LN(2)/2)*BR180+(1-EXP(-LN(2)/2))/(LN(2)/2)*BL181*BO181*VLOOKUP('Données projet'!$B$11,Paramètres!$A$1:$I$89,3,0)*0.475*44/12</f>
        <v>3.3906188593212314E-21</v>
      </c>
      <c r="BS181" s="24">
        <f t="shared" si="169"/>
        <v>0.92045214706947098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544.9580876143059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314.1401276393035</v>
      </c>
      <c r="T182" s="62">
        <f t="shared" si="142"/>
        <v>243.75878492878178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0.76623226723116677</v>
      </c>
      <c r="AA182" s="23">
        <f>EXP(-LN(2)/25)*AA181+(1-EXP(-LN(2)/25))/(LN(2)/25)*Calculateur!V182*Calculateur!X182*VLOOKUP('Données projet'!$B$9,Paramètres!$A$1:$I$89,3,0)*0.475*44/12</f>
        <v>0.1268847513016555</v>
      </c>
      <c r="AB182" s="23">
        <f>EXP(-LN(2)/2)*AB181+(1-EXP(-LN(2)/2))/(LN(2)/2)*V182*Y182*VLOOKUP('Données projet'!$B$9,Paramètres!$A$1:$I$89,3,0)*0.475*44/12</f>
        <v>2.2342890500763119E-20</v>
      </c>
      <c r="AC182" s="24">
        <f t="shared" si="163"/>
        <v>0.89311701853282233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293.33333333333616</v>
      </c>
      <c r="AN182" s="62">
        <f ca="1">AVERAGE(OFFSET($AM$3,0,0,'Données projet'!$E$10+1,1))-AVERAGE(OFFSET($H$3,0,0,'Données projet'!$E$10+1,1))</f>
        <v>272.85581758101404</v>
      </c>
      <c r="AO182" s="62">
        <f t="shared" si="144"/>
        <v>180.73985910201225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7.1630125765762208E-22</v>
      </c>
      <c r="AX182" s="23">
        <f t="shared" si="166"/>
        <v>7.1630125765762208E-22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282.598842734946</v>
      </c>
      <c r="BJ182" s="62">
        <f t="shared" si="146"/>
        <v>335.56869428808034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0.64073333524961984</v>
      </c>
      <c r="BQ182" s="23">
        <f>EXP(-LN(2)/25)*BQ181+(1-EXP(-LN(2)/25))/(LN(2)/25)*Calculateur!BL182*Calculateur!BN182*VLOOKUP('Données projet'!$B$11,Paramètres!$A$1:$I$89,3,0)*0.475*44/12</f>
        <v>0.25960463421948771</v>
      </c>
      <c r="BR182" s="23">
        <f>EXP(-LN(2)/2)*BR181+(1-EXP(-LN(2)/2))/(LN(2)/2)*BL182*BO182*VLOOKUP('Données projet'!$B$11,Paramètres!$A$1:$I$89,3,0)*0.475*44/12</f>
        <v>2.3975295878450393E-21</v>
      </c>
      <c r="BS182" s="24">
        <f t="shared" si="169"/>
        <v>0.9003379694691076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546.52973026012432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314.1401276393035</v>
      </c>
      <c r="T183" s="62">
        <f t="shared" si="142"/>
        <v>243.75878492878178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0.75120691982629906</v>
      </c>
      <c r="AA183" s="23">
        <f>EXP(-LN(2)/25)*AA182+(1-EXP(-LN(2)/25))/(LN(2)/25)*Calculateur!V183*Calculateur!X183*VLOOKUP('Données projet'!$B$9,Paramètres!$A$1:$I$89,3,0)*0.475*44/12</f>
        <v>0.12341508110473265</v>
      </c>
      <c r="AB183" s="23">
        <f>EXP(-LN(2)/2)*AB182+(1-EXP(-LN(2)/2))/(LN(2)/2)*V183*Y183*VLOOKUP('Données projet'!$B$9,Paramètres!$A$1:$I$89,3,0)*0.475*44/12</f>
        <v>1.5798809384398098E-20</v>
      </c>
      <c r="AC183" s="24">
        <f t="shared" si="163"/>
        <v>0.87462200093103171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293.33333333333616</v>
      </c>
      <c r="AN183" s="62">
        <f ca="1">AVERAGE(OFFSET($AM$3,0,0,'Données projet'!$E$10+1,1))-AVERAGE(OFFSET($H$3,0,0,'Données projet'!$E$10+1,1))</f>
        <v>272.85581758101404</v>
      </c>
      <c r="AO183" s="62">
        <f t="shared" si="144"/>
        <v>180.73985910201225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5.0650147666215697E-22</v>
      </c>
      <c r="AX183" s="23">
        <f t="shared" si="166"/>
        <v>5.0650147666215697E-22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282.598842734946</v>
      </c>
      <c r="BJ183" s="62">
        <f t="shared" si="146"/>
        <v>335.56869428808034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0.62816894535412016</v>
      </c>
      <c r="BQ183" s="23">
        <f>EXP(-LN(2)/25)*BQ182+(1-EXP(-LN(2)/25))/(LN(2)/25)*Calculateur!BL183*Calculateur!BN183*VLOOKUP('Données projet'!$B$11,Paramètres!$A$1:$I$89,3,0)*0.475*44/12</f>
        <v>0.25250573184474145</v>
      </c>
      <c r="BR183" s="23">
        <f>EXP(-LN(2)/2)*BR182+(1-EXP(-LN(2)/2))/(LN(2)/2)*BL183*BO183*VLOOKUP('Données projet'!$B$11,Paramètres!$A$1:$I$89,3,0)*0.475*44/12</f>
        <v>1.6953094296606157E-21</v>
      </c>
      <c r="BS183" s="24">
        <f t="shared" si="169"/>
        <v>0.88067467719886161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548.10118242445697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314.1401276393035</v>
      </c>
      <c r="T184" s="62">
        <f t="shared" si="142"/>
        <v>243.75878492878178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0.73647621031948385</v>
      </c>
      <c r="AA184" s="23">
        <f>EXP(-LN(2)/25)*AA183+(1-EXP(-LN(2)/25))/(LN(2)/25)*Calculateur!V184*Calculateur!X184*VLOOKUP('Données projet'!$B$9,Paramètres!$A$1:$I$89,3,0)*0.475*44/12</f>
        <v>0.12004028922180669</v>
      </c>
      <c r="AB184" s="23">
        <f>EXP(-LN(2)/2)*AB183+(1-EXP(-LN(2)/2))/(LN(2)/2)*V184*Y184*VLOOKUP('Données projet'!$B$9,Paramètres!$A$1:$I$89,3,0)*0.475*44/12</f>
        <v>1.1171445250381559E-20</v>
      </c>
      <c r="AC184" s="24">
        <f t="shared" si="163"/>
        <v>0.8565164995412905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293.33333333333616</v>
      </c>
      <c r="AN184" s="62">
        <f ca="1">AVERAGE(OFFSET($AM$3,0,0,'Données projet'!$E$10+1,1))-AVERAGE(OFFSET($H$3,0,0,'Données projet'!$E$10+1,1))</f>
        <v>272.85581758101404</v>
      </c>
      <c r="AO184" s="62">
        <f t="shared" si="144"/>
        <v>180.73985910201225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3.5815062882881104E-22</v>
      </c>
      <c r="AX184" s="23">
        <f t="shared" si="166"/>
        <v>3.5815062882881104E-22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282.598842734946</v>
      </c>
      <c r="BJ184" s="62">
        <f t="shared" si="146"/>
        <v>335.56869428808034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0.61585093548095005</v>
      </c>
      <c r="BQ184" s="23">
        <f>EXP(-LN(2)/25)*BQ183+(1-EXP(-LN(2)/25))/(LN(2)/25)*Calculateur!BL184*Calculateur!BN184*VLOOKUP('Données projet'!$B$11,Paramètres!$A$1:$I$89,3,0)*0.475*44/12</f>
        <v>0.24560094932874768</v>
      </c>
      <c r="BR184" s="23">
        <f>EXP(-LN(2)/2)*BR183+(1-EXP(-LN(2)/2))/(LN(2)/2)*BL184*BO184*VLOOKUP('Données projet'!$B$11,Paramètres!$A$1:$I$89,3,0)*0.475*44/12</f>
        <v>1.1987647939225197E-21</v>
      </c>
      <c r="BS184" s="24">
        <f t="shared" si="169"/>
        <v>0.8614518848096977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549.67244528181982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314.1401276393035</v>
      </c>
      <c r="T185" s="62">
        <f t="shared" si="142"/>
        <v>243.75878492878178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0.72203436104125163</v>
      </c>
      <c r="AA185" s="23">
        <f>EXP(-LN(2)/25)*AA184+(1-EXP(-LN(2)/25))/(LN(2)/25)*Calculateur!V185*Calculateur!X185*VLOOKUP('Données projet'!$B$9,Paramètres!$A$1:$I$89,3,0)*0.475*44/12</f>
        <v>0.11675778120039193</v>
      </c>
      <c r="AB185" s="23">
        <f>EXP(-LN(2)/2)*AB184+(1-EXP(-LN(2)/2))/(LN(2)/2)*V185*Y185*VLOOKUP('Données projet'!$B$9,Paramètres!$A$1:$I$89,3,0)*0.475*44/12</f>
        <v>7.8994046921990489E-21</v>
      </c>
      <c r="AC185" s="24">
        <f t="shared" si="163"/>
        <v>0.83879214224164356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293.33333333333616</v>
      </c>
      <c r="AN185" s="62">
        <f ca="1">AVERAGE(OFFSET($AM$3,0,0,'Données projet'!$E$10+1,1))-AVERAGE(OFFSET($H$3,0,0,'Données projet'!$E$10+1,1))</f>
        <v>272.85581758101404</v>
      </c>
      <c r="AO185" s="62">
        <f t="shared" si="144"/>
        <v>180.73985910201225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2.5325073833107848E-22</v>
      </c>
      <c r="AX185" s="23">
        <f t="shared" si="166"/>
        <v>2.5325073833107848E-22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282.598842734946</v>
      </c>
      <c r="BJ185" s="62">
        <f t="shared" si="146"/>
        <v>335.56869428808034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0.60377447426814868</v>
      </c>
      <c r="BQ185" s="23">
        <f>EXP(-LN(2)/25)*BQ184+(1-EXP(-LN(2)/25))/(LN(2)/25)*Calculateur!BL185*Calculateur!BN185*VLOOKUP('Données projet'!$B$11,Paramètres!$A$1:$I$89,3,0)*0.475*44/12</f>
        <v>0.23888497845376047</v>
      </c>
      <c r="BR185" s="23">
        <f>EXP(-LN(2)/2)*BR184+(1-EXP(-LN(2)/2))/(LN(2)/2)*BL185*BO185*VLOOKUP('Données projet'!$B$11,Paramètres!$A$1:$I$89,3,0)*0.475*44/12</f>
        <v>8.4765471483030784E-22</v>
      </c>
      <c r="BS185" s="24">
        <f t="shared" si="169"/>
        <v>0.84265945272190912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551.24351999307464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314.1401276393035</v>
      </c>
      <c r="T186" s="62">
        <f t="shared" si="142"/>
        <v>243.75878492878178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0.70787570761870733</v>
      </c>
      <c r="AA186" s="23">
        <f>EXP(-LN(2)/25)*AA185+(1-EXP(-LN(2)/25))/(LN(2)/25)*Calculateur!V186*Calculateur!X186*VLOOKUP('Données projet'!$B$9,Paramètres!$A$1:$I$89,3,0)*0.475*44/12</f>
        <v>0.11356503353344236</v>
      </c>
      <c r="AB186" s="23">
        <f>EXP(-LN(2)/2)*AB185+(1-EXP(-LN(2)/2))/(LN(2)/2)*V186*Y186*VLOOKUP('Données projet'!$B$9,Paramètres!$A$1:$I$89,3,0)*0.475*44/12</f>
        <v>5.5857226251907797E-21</v>
      </c>
      <c r="AC186" s="24">
        <f t="shared" si="163"/>
        <v>0.82144074115214971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293.33333333333616</v>
      </c>
      <c r="AN186" s="62">
        <f ca="1">AVERAGE(OFFSET($AM$3,0,0,'Données projet'!$E$10+1,1))-AVERAGE(OFFSET($H$3,0,0,'Données projet'!$E$10+1,1))</f>
        <v>272.85581758101404</v>
      </c>
      <c r="AO186" s="62">
        <f t="shared" si="144"/>
        <v>180.73985910201225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1.7907531441440552E-22</v>
      </c>
      <c r="AX186" s="23">
        <f t="shared" si="166"/>
        <v>1.7907531441440552E-22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282.598842734946</v>
      </c>
      <c r="BJ186" s="62">
        <f t="shared" si="146"/>
        <v>335.56869428808034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0.59193482509381634</v>
      </c>
      <c r="BQ186" s="23">
        <f>EXP(-LN(2)/25)*BQ185+(1-EXP(-LN(2)/25))/(LN(2)/25)*Calculateur!BL186*Calculateur!BN186*VLOOKUP('Données projet'!$B$11,Paramètres!$A$1:$I$89,3,0)*0.475*44/12</f>
        <v>0.23235265615552736</v>
      </c>
      <c r="BR186" s="23">
        <f>EXP(-LN(2)/2)*BR185+(1-EXP(-LN(2)/2))/(LN(2)/2)*BL186*BO186*VLOOKUP('Données projet'!$B$11,Paramètres!$A$1:$I$89,3,0)*0.475*44/12</f>
        <v>5.9938239696125983E-22</v>
      </c>
      <c r="BS186" s="24">
        <f t="shared" si="169"/>
        <v>0.8242874812493437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552.81440770566223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314.1401276393035</v>
      </c>
      <c r="T187" s="62">
        <f t="shared" si="142"/>
        <v>243.75878492878178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0.69399469675385317</v>
      </c>
      <c r="AA187" s="23">
        <f>EXP(-LN(2)/25)*AA186+(1-EXP(-LN(2)/25))/(LN(2)/25)*Calculateur!V187*Calculateur!X187*VLOOKUP('Données projet'!$B$9,Paramètres!$A$1:$I$89,3,0)*0.475*44/12</f>
        <v>0.11045959171934482</v>
      </c>
      <c r="AB187" s="23">
        <f>EXP(-LN(2)/2)*AB186+(1-EXP(-LN(2)/2))/(LN(2)/2)*V187*Y187*VLOOKUP('Données projet'!$B$9,Paramètres!$A$1:$I$89,3,0)*0.475*44/12</f>
        <v>3.9497023460995244E-21</v>
      </c>
      <c r="AC187" s="24">
        <f t="shared" si="163"/>
        <v>0.804454288473198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293.33333333333616</v>
      </c>
      <c r="AN187" s="62">
        <f ca="1">AVERAGE(OFFSET($AM$3,0,0,'Données projet'!$E$10+1,1))-AVERAGE(OFFSET($H$3,0,0,'Données projet'!$E$10+1,1))</f>
        <v>272.85581758101404</v>
      </c>
      <c r="AO187" s="62">
        <f t="shared" si="144"/>
        <v>180.73985910201225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1.2662536916553924E-22</v>
      </c>
      <c r="AX187" s="23">
        <f t="shared" si="166"/>
        <v>1.2662536916553924E-22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282.598842734946</v>
      </c>
      <c r="BJ187" s="62">
        <f t="shared" si="146"/>
        <v>335.56869428808034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0.58032734421831966</v>
      </c>
      <c r="BQ187" s="23">
        <f>EXP(-LN(2)/25)*BQ186+(1-EXP(-LN(2)/25))/(LN(2)/25)*Calculateur!BL187*Calculateur!BN187*VLOOKUP('Données projet'!$B$11,Paramètres!$A$1:$I$89,3,0)*0.475*44/12</f>
        <v>0.22599896055405932</v>
      </c>
      <c r="BR187" s="23">
        <f>EXP(-LN(2)/2)*BR186+(1-EXP(-LN(2)/2))/(LN(2)/2)*BL187*BO187*VLOOKUP('Données projet'!$B$11,Paramètres!$A$1:$I$89,3,0)*0.475*44/12</f>
        <v>4.2382735741515392E-22</v>
      </c>
      <c r="BS187" s="24">
        <f t="shared" si="169"/>
        <v>0.80632630477237899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554.38510955382867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314.1401276393035</v>
      </c>
      <c r="T188" s="62">
        <f t="shared" si="142"/>
        <v>243.75878492878178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0.68038588404547817</v>
      </c>
      <c r="AA188" s="23">
        <f>EXP(-LN(2)/25)*AA187+(1-EXP(-LN(2)/25))/(LN(2)/25)*Calculateur!V188*Calculateur!X188*VLOOKUP('Données projet'!$B$9,Paramètres!$A$1:$I$89,3,0)*0.475*44/12</f>
        <v>0.10743906837496187</v>
      </c>
      <c r="AB188" s="23">
        <f>EXP(-LN(2)/2)*AB187+(1-EXP(-LN(2)/2))/(LN(2)/2)*V188*Y188*VLOOKUP('Données projet'!$B$9,Paramètres!$A$1:$I$89,3,0)*0.475*44/12</f>
        <v>2.7928613125953899E-21</v>
      </c>
      <c r="AC188" s="24">
        <f t="shared" si="163"/>
        <v>0.78782495242044004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293.33333333333616</v>
      </c>
      <c r="AN188" s="62">
        <f ca="1">AVERAGE(OFFSET($AM$3,0,0,'Données projet'!$E$10+1,1))-AVERAGE(OFFSET($H$3,0,0,'Données projet'!$E$10+1,1))</f>
        <v>272.85581758101404</v>
      </c>
      <c r="AO188" s="62">
        <f t="shared" si="144"/>
        <v>180.73985910201225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8.953765720720276E-23</v>
      </c>
      <c r="AX188" s="23">
        <f t="shared" si="166"/>
        <v>8.953765720720276E-23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282.598842734946</v>
      </c>
      <c r="BJ188" s="62">
        <f t="shared" si="146"/>
        <v>335.56869428808034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0.5689474789629273</v>
      </c>
      <c r="BQ188" s="23">
        <f>EXP(-LN(2)/25)*BQ187+(1-EXP(-LN(2)/25))/(LN(2)/25)*Calculateur!BL188*Calculateur!BN188*VLOOKUP('Données projet'!$B$11,Paramètres!$A$1:$I$89,3,0)*0.475*44/12</f>
        <v>0.21981900709293978</v>
      </c>
      <c r="BR188" s="23">
        <f>EXP(-LN(2)/2)*BR187+(1-EXP(-LN(2)/2))/(LN(2)/2)*BL188*BO188*VLOOKUP('Données projet'!$B$11,Paramètres!$A$1:$I$89,3,0)*0.475*44/12</f>
        <v>2.9969119848062991E-22</v>
      </c>
      <c r="BS188" s="24">
        <f t="shared" si="169"/>
        <v>0.78876648605586708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555.95562665884893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314.1401276393035</v>
      </c>
      <c r="T189" s="62">
        <f t="shared" si="142"/>
        <v>243.75878492878178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0.66704393185375832</v>
      </c>
      <c r="AA189" s="23">
        <f>EXP(-LN(2)/25)*AA188+(1-EXP(-LN(2)/25))/(LN(2)/25)*Calculateur!V189*Calculateur!X189*VLOOKUP('Données projet'!$B$9,Paramètres!$A$1:$I$89,3,0)*0.475*44/12</f>
        <v>0.10450114140027349</v>
      </c>
      <c r="AB189" s="23">
        <f>EXP(-LN(2)/2)*AB188+(1-EXP(-LN(2)/2))/(LN(2)/2)*V189*Y189*VLOOKUP('Données projet'!$B$9,Paramètres!$A$1:$I$89,3,0)*0.475*44/12</f>
        <v>1.9748511730497622E-21</v>
      </c>
      <c r="AC189" s="24">
        <f t="shared" si="163"/>
        <v>0.77154507325403177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293.33333333333616</v>
      </c>
      <c r="AN189" s="62">
        <f ca="1">AVERAGE(OFFSET($AM$3,0,0,'Données projet'!$E$10+1,1))-AVERAGE(OFFSET($H$3,0,0,'Données projet'!$E$10+1,1))</f>
        <v>272.85581758101404</v>
      </c>
      <c r="AO189" s="62">
        <f t="shared" si="144"/>
        <v>180.73985910201225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6.3312684582769621E-23</v>
      </c>
      <c r="AX189" s="23">
        <f t="shared" si="166"/>
        <v>6.3312684582769621E-23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282.598842734946</v>
      </c>
      <c r="BJ189" s="62">
        <f t="shared" si="146"/>
        <v>335.56869428808034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0.55779076592416077</v>
      </c>
      <c r="BQ189" s="23">
        <f>EXP(-LN(2)/25)*BQ188+(1-EXP(-LN(2)/25))/(LN(2)/25)*Calculateur!BL189*Calculateur!BN189*VLOOKUP('Données projet'!$B$11,Paramètres!$A$1:$I$89,3,0)*0.475*44/12</f>
        <v>0.21380804478420415</v>
      </c>
      <c r="BR189" s="23">
        <f>EXP(-LN(2)/2)*BR188+(1-EXP(-LN(2)/2))/(LN(2)/2)*BL189*BO189*VLOOKUP('Données projet'!$B$11,Paramètres!$A$1:$I$89,3,0)*0.475*44/12</f>
        <v>2.1191367870757696E-22</v>
      </c>
      <c r="BS189" s="24">
        <f t="shared" si="169"/>
        <v>0.77159881070836489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557.52596012924278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314.1401276393035</v>
      </c>
      <c r="T190" s="62">
        <f t="shared" si="142"/>
        <v>243.75878492878178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0.65396360720673075</v>
      </c>
      <c r="AA190" s="23">
        <f>EXP(-LN(2)/25)*AA189+(1-EXP(-LN(2)/25))/(LN(2)/25)*Calculateur!V190*Calculateur!X190*VLOOKUP('Données projet'!$B$9,Paramètres!$A$1:$I$89,3,0)*0.475*44/12</f>
        <v>0.10164355219320682</v>
      </c>
      <c r="AB190" s="23">
        <f>EXP(-LN(2)/2)*AB189+(1-EXP(-LN(2)/2))/(LN(2)/2)*V190*Y190*VLOOKUP('Données projet'!$B$9,Paramètres!$A$1:$I$89,3,0)*0.475*44/12</f>
        <v>1.3964306562976949E-21</v>
      </c>
      <c r="AC190" s="24">
        <f t="shared" si="163"/>
        <v>0.75560715939993761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293.33333333333616</v>
      </c>
      <c r="AN190" s="62">
        <f ca="1">AVERAGE(OFFSET($AM$3,0,0,'Données projet'!$E$10+1,1))-AVERAGE(OFFSET($H$3,0,0,'Données projet'!$E$10+1,1))</f>
        <v>272.85581758101404</v>
      </c>
      <c r="AO190" s="62">
        <f t="shared" si="144"/>
        <v>180.73985910201225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4.476882860360138E-23</v>
      </c>
      <c r="AX190" s="23">
        <f t="shared" si="166"/>
        <v>4.476882860360138E-23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282.598842734946</v>
      </c>
      <c r="BJ190" s="62">
        <f t="shared" si="146"/>
        <v>335.56869428808034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0.54685282922316136</v>
      </c>
      <c r="BQ190" s="23">
        <f>EXP(-LN(2)/25)*BQ189+(1-EXP(-LN(2)/25))/(LN(2)/25)*Calculateur!BL190*Calculateur!BN190*VLOOKUP('Données projet'!$B$11,Paramètres!$A$1:$I$89,3,0)*0.475*44/12</f>
        <v>0.20796145255590368</v>
      </c>
      <c r="BR190" s="23">
        <f>EXP(-LN(2)/2)*BR189+(1-EXP(-LN(2)/2))/(LN(2)/2)*BL190*BO190*VLOOKUP('Données projet'!$B$11,Paramètres!$A$1:$I$89,3,0)*0.475*44/12</f>
        <v>1.4984559924031496E-22</v>
      </c>
      <c r="BS190" s="24">
        <f t="shared" si="169"/>
        <v>0.75481428177906507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559.09611106098828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314.1401276393035</v>
      </c>
      <c r="T191" s="62">
        <f t="shared" si="142"/>
        <v>243.75878492878178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0.64113977974782121</v>
      </c>
      <c r="AA191" s="23">
        <f>EXP(-LN(2)/25)*AA190+(1-EXP(-LN(2)/25))/(LN(2)/25)*Calculateur!V191*Calculateur!X191*VLOOKUP('Données projet'!$B$9,Paramètres!$A$1:$I$89,3,0)*0.475*44/12</f>
        <v>9.8864103913281487E-2</v>
      </c>
      <c r="AB191" s="23">
        <f>EXP(-LN(2)/2)*AB190+(1-EXP(-LN(2)/2))/(LN(2)/2)*V191*Y191*VLOOKUP('Données projet'!$B$9,Paramètres!$A$1:$I$89,3,0)*0.475*44/12</f>
        <v>9.8742558652488111E-22</v>
      </c>
      <c r="AC191" s="24">
        <f t="shared" si="163"/>
        <v>0.7400038836611027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293.33333333333616</v>
      </c>
      <c r="AN191" s="62">
        <f ca="1">AVERAGE(OFFSET($AM$3,0,0,'Données projet'!$E$10+1,1))-AVERAGE(OFFSET($H$3,0,0,'Données projet'!$E$10+1,1))</f>
        <v>272.85581758101404</v>
      </c>
      <c r="AO191" s="62">
        <f t="shared" si="144"/>
        <v>180.73985910201225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3.1656342291384811E-23</v>
      </c>
      <c r="AX191" s="23">
        <f t="shared" si="166"/>
        <v>3.1656342291384811E-23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282.598842734946</v>
      </c>
      <c r="BJ191" s="62">
        <f t="shared" si="146"/>
        <v>335.56869428808034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0.53612937878938594</v>
      </c>
      <c r="BQ191" s="23">
        <f>EXP(-LN(2)/25)*BQ190+(1-EXP(-LN(2)/25))/(LN(2)/25)*Calculateur!BL191*Calculateur!BN191*VLOOKUP('Données projet'!$B$11,Paramètres!$A$1:$I$89,3,0)*0.475*44/12</f>
        <v>0.20227473569954499</v>
      </c>
      <c r="BR191" s="23">
        <f>EXP(-LN(2)/2)*BR190+(1-EXP(-LN(2)/2))/(LN(2)/2)*BL191*BO191*VLOOKUP('Données projet'!$B$11,Paramètres!$A$1:$I$89,3,0)*0.475*44/12</f>
        <v>1.0595683935378848E-22</v>
      </c>
      <c r="BS191" s="24">
        <f t="shared" si="169"/>
        <v>0.73840411448893095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560.6660805377287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314.1401276393035</v>
      </c>
      <c r="T192" s="62">
        <f t="shared" si="142"/>
        <v>243.75878492878178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0.6285674197236184</v>
      </c>
      <c r="AA192" s="23">
        <f>EXP(-LN(2)/25)*AA191+(1-EXP(-LN(2)/25))/(LN(2)/25)*Calculateur!V192*Calculateur!X192*VLOOKUP('Données projet'!$B$9,Paramètres!$A$1:$I$89,3,0)*0.475*44/12</f>
        <v>9.6160659792735539E-2</v>
      </c>
      <c r="AB192" s="23">
        <f>EXP(-LN(2)/2)*AB191+(1-EXP(-LN(2)/2))/(LN(2)/2)*V192*Y192*VLOOKUP('Données projet'!$B$9,Paramètres!$A$1:$I$89,3,0)*0.475*44/12</f>
        <v>6.9821532814884747E-22</v>
      </c>
      <c r="AC192" s="24">
        <f t="shared" si="163"/>
        <v>0.72472807951635398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293.33333333333616</v>
      </c>
      <c r="AN192" s="62">
        <f ca="1">AVERAGE(OFFSET($AM$3,0,0,'Données projet'!$E$10+1,1))-AVERAGE(OFFSET($H$3,0,0,'Données projet'!$E$10+1,1))</f>
        <v>272.85581758101404</v>
      </c>
      <c r="AO192" s="62">
        <f t="shared" si="144"/>
        <v>180.73985910201225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2.238441430180069E-23</v>
      </c>
      <c r="AX192" s="23">
        <f t="shared" si="166"/>
        <v>2.238441430180069E-23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282.598842734946</v>
      </c>
      <c r="BJ192" s="62">
        <f t="shared" si="146"/>
        <v>335.56869428808034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0.52561620867795789</v>
      </c>
      <c r="BQ192" s="23">
        <f>EXP(-LN(2)/25)*BQ191+(1-EXP(-LN(2)/25))/(LN(2)/25)*Calculateur!BL192*Calculateur!BN192*VLOOKUP('Données projet'!$B$11,Paramètres!$A$1:$I$89,3,0)*0.475*44/12</f>
        <v>0.19674352241467488</v>
      </c>
      <c r="BR192" s="23">
        <f>EXP(-LN(2)/2)*BR191+(1-EXP(-LN(2)/2))/(LN(2)/2)*BL192*BO192*VLOOKUP('Données projet'!$B$11,Paramètres!$A$1:$I$89,3,0)*0.475*44/12</f>
        <v>7.4922799620157478E-23</v>
      </c>
      <c r="BS192" s="24">
        <f t="shared" si="169"/>
        <v>0.72235973109263274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562.23586963097716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314.1401276393035</v>
      </c>
      <c r="T193" s="62">
        <f t="shared" si="142"/>
        <v>243.75878492878178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0.61624159601110784</v>
      </c>
      <c r="AA193" s="23">
        <f>EXP(-LN(2)/25)*AA192+(1-EXP(-LN(2)/25))/(LN(2)/25)*Calculateur!V193*Calculateur!X193*VLOOKUP('Données projet'!$B$9,Paramètres!$A$1:$I$89,3,0)*0.475*44/12</f>
        <v>9.3531141493833861E-2</v>
      </c>
      <c r="AB193" s="23">
        <f>EXP(-LN(2)/2)*AB192+(1-EXP(-LN(2)/2))/(LN(2)/2)*V193*Y193*VLOOKUP('Données projet'!$B$9,Paramètres!$A$1:$I$89,3,0)*0.475*44/12</f>
        <v>4.9371279326244055E-22</v>
      </c>
      <c r="AC193" s="24">
        <f t="shared" si="163"/>
        <v>0.70977273750494174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293.33333333333616</v>
      </c>
      <c r="AN193" s="62">
        <f ca="1">AVERAGE(OFFSET($AM$3,0,0,'Données projet'!$E$10+1,1))-AVERAGE(OFFSET($H$3,0,0,'Données projet'!$E$10+1,1))</f>
        <v>272.85581758101404</v>
      </c>
      <c r="AO193" s="62">
        <f t="shared" si="144"/>
        <v>180.73985910201225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1.5828171145692405E-23</v>
      </c>
      <c r="AX193" s="23">
        <f t="shared" si="166"/>
        <v>1.5828171145692405E-23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282.598842734946</v>
      </c>
      <c r="BJ193" s="62">
        <f t="shared" si="146"/>
        <v>335.56869428808034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0.51530919542001441</v>
      </c>
      <c r="BQ193" s="23">
        <f>EXP(-LN(2)/25)*BQ192+(1-EXP(-LN(2)/25))/(LN(2)/25)*Calculateur!BL193*Calculateur!BN193*VLOOKUP('Données projet'!$B$11,Paramètres!$A$1:$I$89,3,0)*0.475*44/12</f>
        <v>0.19136356044795341</v>
      </c>
      <c r="BR193" s="23">
        <f>EXP(-LN(2)/2)*BR192+(1-EXP(-LN(2)/2))/(LN(2)/2)*BL193*BO193*VLOOKUP('Données projet'!$B$11,Paramètres!$A$1:$I$89,3,0)*0.475*44/12</f>
        <v>5.297841967689424E-23</v>
      </c>
      <c r="BS193" s="24">
        <f t="shared" si="169"/>
        <v>0.70667275586796785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563.80547940031397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314.1401276393035</v>
      </c>
      <c r="T194" s="62">
        <f t="shared" si="142"/>
        <v>243.75878492878178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0.60415747418358945</v>
      </c>
      <c r="AA194" s="23">
        <f>EXP(-LN(2)/25)*AA193+(1-EXP(-LN(2)/25))/(LN(2)/25)*Calculateur!V194*Calculateur!X194*VLOOKUP('Données projet'!$B$9,Paramètres!$A$1:$I$89,3,0)*0.475*44/12</f>
        <v>9.0973527511096011E-2</v>
      </c>
      <c r="AB194" s="23">
        <f>EXP(-LN(2)/2)*AB193+(1-EXP(-LN(2)/2))/(LN(2)/2)*V194*Y194*VLOOKUP('Données projet'!$B$9,Paramètres!$A$1:$I$89,3,0)*0.475*44/12</f>
        <v>3.4910766407442373E-22</v>
      </c>
      <c r="AC194" s="24">
        <f t="shared" si="163"/>
        <v>0.69513100169468545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293.33333333333616</v>
      </c>
      <c r="AN194" s="62">
        <f ca="1">AVERAGE(OFFSET($AM$3,0,0,'Données projet'!$E$10+1,1))-AVERAGE(OFFSET($H$3,0,0,'Données projet'!$E$10+1,1))</f>
        <v>272.85581758101404</v>
      </c>
      <c r="AO194" s="62">
        <f t="shared" si="144"/>
        <v>180.73985910201225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1.1192207150900345E-23</v>
      </c>
      <c r="AX194" s="23">
        <f t="shared" si="166"/>
        <v>1.1192207150900345E-23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282.598842734946</v>
      </c>
      <c r="BJ194" s="62">
        <f t="shared" si="146"/>
        <v>335.56869428808034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0.50520429640540188</v>
      </c>
      <c r="BQ194" s="23">
        <f>EXP(-LN(2)/25)*BQ193+(1-EXP(-LN(2)/25))/(LN(2)/25)*Calculateur!BL194*Calculateur!BN194*VLOOKUP('Données projet'!$B$11,Paramètres!$A$1:$I$89,3,0)*0.475*44/12</f>
        <v>0.18613071382413185</v>
      </c>
      <c r="BR194" s="23">
        <f>EXP(-LN(2)/2)*BR193+(1-EXP(-LN(2)/2))/(LN(2)/2)*BL194*BO194*VLOOKUP('Données projet'!$B$11,Paramètres!$A$1:$I$89,3,0)*0.475*44/12</f>
        <v>3.7461399810078739E-23</v>
      </c>
      <c r="BS194" s="24">
        <f t="shared" si="169"/>
        <v>0.6913350102295337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565.37491089358252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314.1401276393035</v>
      </c>
      <c r="T195" s="62">
        <f t="shared" si="142"/>
        <v>243.75878492878178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0.59231031461452222</v>
      </c>
      <c r="AA195" s="23">
        <f>EXP(-LN(2)/25)*AA194+(1-EXP(-LN(2)/25))/(LN(2)/25)*Calculateur!V195*Calculateur!X195*VLOOKUP('Données projet'!$B$9,Paramètres!$A$1:$I$89,3,0)*0.475*44/12</f>
        <v>8.84858516172152E-2</v>
      </c>
      <c r="AB195" s="23">
        <f>EXP(-LN(2)/2)*AB194+(1-EXP(-LN(2)/2))/(LN(2)/2)*V195*Y195*VLOOKUP('Données projet'!$B$9,Paramètres!$A$1:$I$89,3,0)*0.475*44/12</f>
        <v>2.4685639663122028E-22</v>
      </c>
      <c r="AC195" s="24">
        <f t="shared" si="163"/>
        <v>0.68079616623173744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293.33333333333616</v>
      </c>
      <c r="AN195" s="62">
        <f ca="1">AVERAGE(OFFSET($AM$3,0,0,'Données projet'!$E$10+1,1))-AVERAGE(OFFSET($H$3,0,0,'Données projet'!$E$10+1,1))</f>
        <v>272.85581758101404</v>
      </c>
      <c r="AO195" s="62">
        <f t="shared" si="144"/>
        <v>180.73985910201225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7.9140855728462027E-24</v>
      </c>
      <c r="AX195" s="23">
        <f t="shared" si="166"/>
        <v>7.9140855728462027E-24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282.598842734946</v>
      </c>
      <c r="BJ195" s="62">
        <f t="shared" si="146"/>
        <v>335.56869428808034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0.49529754829708605</v>
      </c>
      <c r="BQ195" s="23">
        <f>EXP(-LN(2)/25)*BQ194+(1-EXP(-LN(2)/25))/(LN(2)/25)*Calculateur!BL195*Calculateur!BN195*VLOOKUP('Données projet'!$B$11,Paramètres!$A$1:$I$89,3,0)*0.475*44/12</f>
        <v>0.18104095966642214</v>
      </c>
      <c r="BR195" s="23">
        <f>EXP(-LN(2)/2)*BR194+(1-EXP(-LN(2)/2))/(LN(2)/2)*BL195*BO195*VLOOKUP('Données projet'!$B$11,Paramètres!$A$1:$I$89,3,0)*0.475*44/12</f>
        <v>2.648920983844712E-23</v>
      </c>
      <c r="BS195" s="24">
        <f t="shared" si="169"/>
        <v>0.67633850796350825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566.94416514707893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314.1401276393035</v>
      </c>
      <c r="T196" s="62">
        <f t="shared" si="142"/>
        <v>243.75878492878178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0.58069547061855054</v>
      </c>
      <c r="AA196" s="23">
        <f>EXP(-LN(2)/25)*AA195+(1-EXP(-LN(2)/25))/(LN(2)/25)*Calculateur!V196*Calculateur!X196*VLOOKUP('Données projet'!$B$9,Paramètres!$A$1:$I$89,3,0)*0.475*44/12</f>
        <v>8.6066201351473748E-2</v>
      </c>
      <c r="AB196" s="23">
        <f>EXP(-LN(2)/2)*AB195+(1-EXP(-LN(2)/2))/(LN(2)/2)*V196*Y196*VLOOKUP('Données projet'!$B$9,Paramètres!$A$1:$I$89,3,0)*0.475*44/12</f>
        <v>1.7455383203721187E-22</v>
      </c>
      <c r="AC196" s="24">
        <f t="shared" si="163"/>
        <v>0.66676167197002423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293.33333333333616</v>
      </c>
      <c r="AN196" s="62">
        <f ca="1">AVERAGE(OFFSET($AM$3,0,0,'Données projet'!$E$10+1,1))-AVERAGE(OFFSET($H$3,0,0,'Données projet'!$E$10+1,1))</f>
        <v>272.85581758101404</v>
      </c>
      <c r="AO196" s="62">
        <f t="shared" si="144"/>
        <v>180.73985910201225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5.5961035754501725E-24</v>
      </c>
      <c r="AX196" s="23">
        <f t="shared" si="166"/>
        <v>5.5961035754501725E-24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282.598842734946</v>
      </c>
      <c r="BJ196" s="62">
        <f t="shared" si="146"/>
        <v>335.56869428808034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0.48558506547665459</v>
      </c>
      <c r="BQ196" s="23">
        <f>EXP(-LN(2)/25)*BQ195+(1-EXP(-LN(2)/25))/(LN(2)/25)*Calculateur!BL196*Calculateur!BN196*VLOOKUP('Données projet'!$B$11,Paramètres!$A$1:$I$89,3,0)*0.475*44/12</f>
        <v>0.17609038510381353</v>
      </c>
      <c r="BR196" s="23">
        <f>EXP(-LN(2)/2)*BR195+(1-EXP(-LN(2)/2))/(LN(2)/2)*BL196*BO196*VLOOKUP('Données projet'!$B$11,Paramètres!$A$1:$I$89,3,0)*0.475*44/12</f>
        <v>1.873069990503937E-23</v>
      </c>
      <c r="BS196" s="24">
        <f t="shared" si="169"/>
        <v>0.66167545058046806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568.51324318573916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314.1401276393035</v>
      </c>
      <c r="T197" s="62">
        <f t="shared" ref="T197:T203" si="204">$T$3</f>
        <v>243.75878492878178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0.56930838662898453</v>
      </c>
      <c r="AA197" s="23">
        <f>EXP(-LN(2)/25)*AA196+(1-EXP(-LN(2)/25))/(LN(2)/25)*Calculateur!V197*Calculateur!X197*VLOOKUP('Données projet'!$B$9,Paramètres!$A$1:$I$89,3,0)*0.475*44/12</f>
        <v>8.3712716549492874E-2</v>
      </c>
      <c r="AB197" s="23">
        <f>EXP(-LN(2)/2)*AB196+(1-EXP(-LN(2)/2))/(LN(2)/2)*V197*Y197*VLOOKUP('Données projet'!$B$9,Paramètres!$A$1:$I$89,3,0)*0.475*44/12</f>
        <v>1.2342819831561014E-22</v>
      </c>
      <c r="AC197" s="24">
        <f t="shared" si="163"/>
        <v>0.65302110317847739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293.33333333333616</v>
      </c>
      <c r="AN197" s="62">
        <f ca="1">AVERAGE(OFFSET($AM$3,0,0,'Données projet'!$E$10+1,1))-AVERAGE(OFFSET($H$3,0,0,'Données projet'!$E$10+1,1))</f>
        <v>272.85581758101404</v>
      </c>
      <c r="AO197" s="62">
        <f t="shared" ref="AO197:AO203" si="205">$AO$3</f>
        <v>180.73985910201225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3.9570427864231013E-24</v>
      </c>
      <c r="AX197" s="23">
        <f t="shared" si="166"/>
        <v>3.9570427864231013E-24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282.598842734946</v>
      </c>
      <c r="BJ197" s="62">
        <f t="shared" ref="BJ197:BJ203" si="206">$BJ$3</f>
        <v>335.56869428808034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0.47606303852030224</v>
      </c>
      <c r="BQ197" s="23">
        <f>EXP(-LN(2)/25)*BQ196+(1-EXP(-LN(2)/25))/(LN(2)/25)*Calculateur!BL197*Calculateur!BN197*VLOOKUP('Données projet'!$B$11,Paramètres!$A$1:$I$89,3,0)*0.475*44/12</f>
        <v>0.17127518426295885</v>
      </c>
      <c r="BR197" s="23">
        <f>EXP(-LN(2)/2)*BR196+(1-EXP(-LN(2)/2))/(LN(2)/2)*BL197*BO197*VLOOKUP('Données projet'!$B$11,Paramètres!$A$1:$I$89,3,0)*0.475*44/12</f>
        <v>1.324460491922356E-23</v>
      </c>
      <c r="BS197" s="24">
        <f t="shared" si="169"/>
        <v>0.64733822278326114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570.08214602332077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314.1401276393035</v>
      </c>
      <c r="T198" s="62">
        <f t="shared" si="204"/>
        <v>243.75878492878178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0.55814459641101855</v>
      </c>
      <c r="AA198" s="23">
        <f>EXP(-LN(2)/25)*AA197+(1-EXP(-LN(2)/25))/(LN(2)/25)*Calculateur!V198*Calculateur!X198*VLOOKUP('Données projet'!$B$9,Paramètres!$A$1:$I$89,3,0)*0.475*44/12</f>
        <v>8.142358791318656E-2</v>
      </c>
      <c r="AB198" s="23">
        <f>EXP(-LN(2)/2)*AB197+(1-EXP(-LN(2)/2))/(LN(2)/2)*V198*Y198*VLOOKUP('Données projet'!$B$9,Paramètres!$A$1:$I$89,3,0)*0.475*44/12</f>
        <v>8.7276916018605933E-23</v>
      </c>
      <c r="AC198" s="24">
        <f t="shared" si="163"/>
        <v>0.63956818432420515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293.33333333333616</v>
      </c>
      <c r="AN198" s="62">
        <f ca="1">AVERAGE(OFFSET($AM$3,0,0,'Données projet'!$E$10+1,1))-AVERAGE(OFFSET($H$3,0,0,'Données projet'!$E$10+1,1))</f>
        <v>272.85581758101404</v>
      </c>
      <c r="AO198" s="62">
        <f t="shared" si="205"/>
        <v>180.73985910201225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2.7980517877250863E-24</v>
      </c>
      <c r="AX198" s="23">
        <f t="shared" si="166"/>
        <v>2.7980517877250863E-24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282.598842734946</v>
      </c>
      <c r="BJ198" s="62">
        <f t="shared" si="206"/>
        <v>335.56869428808034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0.46672773270470097</v>
      </c>
      <c r="BQ198" s="23">
        <f>EXP(-LN(2)/25)*BQ197+(1-EXP(-LN(2)/25))/(LN(2)/25)*Calculateur!BL198*Calculateur!BN198*VLOOKUP('Données projet'!$B$11,Paramètres!$A$1:$I$89,3,0)*0.475*44/12</f>
        <v>0.16659165534231776</v>
      </c>
      <c r="BR198" s="23">
        <f>EXP(-LN(2)/2)*BR197+(1-EXP(-LN(2)/2))/(LN(2)/2)*BL198*BO198*VLOOKUP('Données projet'!$B$11,Paramètres!$A$1:$I$89,3,0)*0.475*44/12</f>
        <v>9.3653499525196848E-24</v>
      </c>
      <c r="BS198" s="24">
        <f t="shared" si="169"/>
        <v>0.63331938804701871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571.65087466258183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314.1401276393035</v>
      </c>
      <c r="T199" s="62">
        <f t="shared" si="204"/>
        <v>243.75878492878178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0.54719972130998717</v>
      </c>
      <c r="AA199" s="23">
        <f>EXP(-LN(2)/25)*AA198+(1-EXP(-LN(2)/25))/(LN(2)/25)*Calculateur!V199*Calculateur!X199*VLOOKUP('Données projet'!$B$9,Paramètres!$A$1:$I$89,3,0)*0.475*44/12</f>
        <v>7.9197055619820086E-2</v>
      </c>
      <c r="AB199" s="23">
        <f>EXP(-LN(2)/2)*AB198+(1-EXP(-LN(2)/2))/(LN(2)/2)*V199*Y199*VLOOKUP('Données projet'!$B$9,Paramètres!$A$1:$I$89,3,0)*0.475*44/12</f>
        <v>6.1714099157805069E-23</v>
      </c>
      <c r="AC199" s="24">
        <f t="shared" si="163"/>
        <v>0.62639677692980722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293.33333333333616</v>
      </c>
      <c r="AN199" s="62">
        <f ca="1">AVERAGE(OFFSET($AM$3,0,0,'Données projet'!$E$10+1,1))-AVERAGE(OFFSET($H$3,0,0,'Données projet'!$E$10+1,1))</f>
        <v>272.85581758101404</v>
      </c>
      <c r="AO199" s="62">
        <f t="shared" si="205"/>
        <v>180.73985910201225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1.9785213932115507E-24</v>
      </c>
      <c r="AX199" s="23">
        <f t="shared" si="166"/>
        <v>1.9785213932115507E-24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282.598842734946</v>
      </c>
      <c r="BJ199" s="62">
        <f t="shared" si="206"/>
        <v>335.56869428808034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0.45757548654216934</v>
      </c>
      <c r="BQ199" s="23">
        <f>EXP(-LN(2)/25)*BQ198+(1-EXP(-LN(2)/25))/(LN(2)/25)*Calculateur!BL199*Calculateur!BN199*VLOOKUP('Données projet'!$B$11,Paramètres!$A$1:$I$89,3,0)*0.475*44/12</f>
        <v>0.16203619776630768</v>
      </c>
      <c r="BR199" s="23">
        <f>EXP(-LN(2)/2)*BR198+(1-EXP(-LN(2)/2))/(LN(2)/2)*BL199*BO199*VLOOKUP('Données projet'!$B$11,Paramètres!$A$1:$I$89,3,0)*0.475*44/12</f>
        <v>6.62230245961178E-24</v>
      </c>
      <c r="BS199" s="24">
        <f t="shared" si="169"/>
        <v>0.61961168430847702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573.21943009545589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314.1401276393035</v>
      </c>
      <c r="T200" s="62">
        <f t="shared" si="204"/>
        <v>243.75878492878178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0.53646946853397237</v>
      </c>
      <c r="AA200" s="23">
        <f>EXP(-LN(2)/25)*AA199+(1-EXP(-LN(2)/25))/(LN(2)/25)*Calculateur!V200*Calculateur!X200*VLOOKUP('Données projet'!$B$9,Paramètres!$A$1:$I$89,3,0)*0.475*44/12</f>
        <v>7.703140796910396E-2</v>
      </c>
      <c r="AB200" s="23">
        <f>EXP(-LN(2)/2)*AB199+(1-EXP(-LN(2)/2))/(LN(2)/2)*V200*Y200*VLOOKUP('Données projet'!$B$9,Paramètres!$A$1:$I$89,3,0)*0.475*44/12</f>
        <v>4.3638458009302967E-23</v>
      </c>
      <c r="AC200" s="24">
        <f t="shared" si="163"/>
        <v>0.61350087650307628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293.33333333333616</v>
      </c>
      <c r="AN200" s="62">
        <f ca="1">AVERAGE(OFFSET($AM$3,0,0,'Données projet'!$E$10+1,1))-AVERAGE(OFFSET($H$3,0,0,'Données projet'!$E$10+1,1))</f>
        <v>272.85581758101404</v>
      </c>
      <c r="AO200" s="62">
        <f t="shared" si="205"/>
        <v>180.73985910201225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1.3990258938625431E-24</v>
      </c>
      <c r="AX200" s="23">
        <f t="shared" si="166"/>
        <v>1.3990258938625431E-24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282.598842734946</v>
      </c>
      <c r="BJ200" s="62">
        <f t="shared" si="206"/>
        <v>335.56869428808034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0.448602710344566</v>
      </c>
      <c r="BQ200" s="23">
        <f>EXP(-LN(2)/25)*BQ199+(1-EXP(-LN(2)/25))/(LN(2)/25)*Calculateur!BL200*Calculateur!BN200*VLOOKUP('Données projet'!$B$11,Paramètres!$A$1:$I$89,3,0)*0.475*44/12</f>
        <v>0.15760530941727469</v>
      </c>
      <c r="BR200" s="23">
        <f>EXP(-LN(2)/2)*BR199+(1-EXP(-LN(2)/2))/(LN(2)/2)*BL200*BO200*VLOOKUP('Données projet'!$B$11,Paramètres!$A$1:$I$89,3,0)*0.475*44/12</f>
        <v>4.6826749762598424E-24</v>
      </c>
      <c r="BS200" s="24">
        <f t="shared" si="169"/>
        <v>0.60620801976184069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574.78781330322295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314.1401276393035</v>
      </c>
      <c r="T201" s="62">
        <f t="shared" si="204"/>
        <v>243.75878492878178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0.52594962947008728</v>
      </c>
      <c r="AA201" s="23">
        <f>EXP(-LN(2)/25)*AA200+(1-EXP(-LN(2)/25))/(LN(2)/25)*Calculateur!V201*Calculateur!X201*VLOOKUP('Données projet'!$B$9,Paramètres!$A$1:$I$89,3,0)*0.475*44/12</f>
        <v>7.4924980067283126E-2</v>
      </c>
      <c r="AB201" s="23">
        <f>EXP(-LN(2)/2)*AB200+(1-EXP(-LN(2)/2))/(LN(2)/2)*V201*Y201*VLOOKUP('Données projet'!$B$9,Paramètres!$A$1:$I$89,3,0)*0.475*44/12</f>
        <v>3.0857049578902535E-23</v>
      </c>
      <c r="AC201" s="24">
        <f t="shared" si="163"/>
        <v>0.60087460953737037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293.33333333333616</v>
      </c>
      <c r="AN201" s="62">
        <f ca="1">AVERAGE(OFFSET($AM$3,0,0,'Données projet'!$E$10+1,1))-AVERAGE(OFFSET($H$3,0,0,'Données projet'!$E$10+1,1))</f>
        <v>272.85581758101404</v>
      </c>
      <c r="AO201" s="62">
        <f t="shared" si="205"/>
        <v>180.73985910201225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9.8926069660577533E-25</v>
      </c>
      <c r="AX201" s="23">
        <f t="shared" si="166"/>
        <v>9.8926069660577533E-25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282.598842734946</v>
      </c>
      <c r="BJ201" s="62">
        <f t="shared" si="206"/>
        <v>335.56869428808034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0.43980588481534461</v>
      </c>
      <c r="BQ201" s="23">
        <f>EXP(-LN(2)/25)*BQ200+(1-EXP(-LN(2)/25))/(LN(2)/25)*Calculateur!BL201*Calculateur!BN201*VLOOKUP('Données projet'!$B$11,Paramètres!$A$1:$I$89,3,0)*0.475*44/12</f>
        <v>0.15329558394315629</v>
      </c>
      <c r="BR201" s="23">
        <f>EXP(-LN(2)/2)*BR200+(1-EXP(-LN(2)/2))/(LN(2)/2)*BL201*BO201*VLOOKUP('Données projet'!$B$11,Paramètres!$A$1:$I$89,3,0)*0.475*44/12</f>
        <v>3.31115122980589E-24</v>
      </c>
      <c r="BS201" s="24">
        <f t="shared" si="169"/>
        <v>0.59310146875850089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576.35602525667696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314.1401276393035</v>
      </c>
      <c r="T202" s="62">
        <f t="shared" si="204"/>
        <v>243.75878492878178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0.51563607803377676</v>
      </c>
      <c r="AA202" s="23">
        <f>EXP(-LN(2)/25)*AA201+(1-EXP(-LN(2)/25))/(LN(2)/25)*Calculateur!V202*Calculateur!X202*VLOOKUP('Données projet'!$B$9,Paramètres!$A$1:$I$89,3,0)*0.475*44/12</f>
        <v>7.2876152547209805E-2</v>
      </c>
      <c r="AB202" s="23">
        <f>EXP(-LN(2)/2)*AB201+(1-EXP(-LN(2)/2))/(LN(2)/2)*V202*Y202*VLOOKUP('Données projet'!$B$9,Paramètres!$A$1:$I$89,3,0)*0.475*44/12</f>
        <v>2.1819229004651483E-23</v>
      </c>
      <c r="AC202" s="24">
        <f t="shared" si="163"/>
        <v>0.58851223058098656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293.33333333333616</v>
      </c>
      <c r="AN202" s="62">
        <f ca="1">AVERAGE(OFFSET($AM$3,0,0,'Données projet'!$E$10+1,1))-AVERAGE(OFFSET($H$3,0,0,'Données projet'!$E$10+1,1))</f>
        <v>272.85581758101404</v>
      </c>
      <c r="AO202" s="62">
        <f t="shared" si="205"/>
        <v>180.73985910201225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6.9951294693127157E-25</v>
      </c>
      <c r="AX202" s="23">
        <f t="shared" si="166"/>
        <v>6.9951294693127157E-25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282.598842734946</v>
      </c>
      <c r="BJ202" s="62">
        <f t="shared" si="206"/>
        <v>335.56869428808034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0.43118155966921745</v>
      </c>
      <c r="BQ202" s="23">
        <f>EXP(-LN(2)/25)*BQ201+(1-EXP(-LN(2)/25))/(LN(2)/25)*Calculateur!BL202*Calculateur!BN202*VLOOKUP('Données projet'!$B$11,Paramètres!$A$1:$I$89,3,0)*0.475*44/12</f>
        <v>0.14910370813876628</v>
      </c>
      <c r="BR202" s="23">
        <f>EXP(-LN(2)/2)*BR201+(1-EXP(-LN(2)/2))/(LN(2)/2)*BL202*BO202*VLOOKUP('Données projet'!$B$11,Paramètres!$A$1:$I$89,3,0)*0.475*44/12</f>
        <v>2.3413374881299212E-24</v>
      </c>
      <c r="BS202" s="24">
        <f t="shared" si="169"/>
        <v>0.58028526780798373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577.92406691629071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314.1401276393035</v>
      </c>
      <c r="T203" s="62">
        <f t="shared" si="204"/>
        <v>243.75878492878178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0.50552476905048704</v>
      </c>
      <c r="AA203" s="23">
        <f>EXP(-LN(2)/25)*AA202+(1-EXP(-LN(2)/25))/(LN(2)/25)*Calculateur!V203*Calculateur!X203*VLOOKUP('Données projet'!$B$9,Paramètres!$A$1:$I$89,3,0)*0.475*44/12</f>
        <v>7.0883350323416056E-2</v>
      </c>
      <c r="AB203" s="23">
        <f>EXP(-LN(2)/2)*AB202+(1-EXP(-LN(2)/2))/(LN(2)/2)*V203*Y203*VLOOKUP('Données projet'!$B$9,Paramètres!$A$1:$I$89,3,0)*0.475*44/12</f>
        <v>1.5428524789451267E-23</v>
      </c>
      <c r="AC203" s="24">
        <f t="shared" si="163"/>
        <v>0.57640811937390313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293.33333333333616</v>
      </c>
      <c r="AN203" s="62">
        <f ca="1">AVERAGE(OFFSET($AM$3,0,0,'Données projet'!$E$10+1,1))-AVERAGE(OFFSET($H$3,0,0,'Données projet'!$E$10+1,1))</f>
        <v>272.85581758101404</v>
      </c>
      <c r="AO203" s="62">
        <f t="shared" si="205"/>
        <v>180.73985910201225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4.9463034830288767E-25</v>
      </c>
      <c r="AX203" s="23">
        <f t="shared" si="166"/>
        <v>4.9463034830288767E-25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282.598842734946</v>
      </c>
      <c r="BJ203" s="62">
        <f t="shared" si="206"/>
        <v>335.56869428808034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0.42272635227888694</v>
      </c>
      <c r="BQ203" s="23">
        <f>EXP(-LN(2)/25)*BQ202+(1-EXP(-LN(2)/25))/(LN(2)/25)*Calculateur!BL203*Calculateur!BN203*VLOOKUP('Données projet'!$B$11,Paramètres!$A$1:$I$89,3,0)*0.475*44/12</f>
        <v>0.1450264593986885</v>
      </c>
      <c r="BR203" s="23">
        <f>EXP(-LN(2)/2)*BR202+(1-EXP(-LN(2)/2))/(LN(2)/2)*BL203*BO203*VLOOKUP('Données projet'!$B$11,Paramètres!$A$1:$I$89,3,0)*0.475*44/12</f>
        <v>1.655575614902945E-24</v>
      </c>
      <c r="BS203" s="24">
        <f t="shared" si="169"/>
        <v>0.56775281167757541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1.2370441695353693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0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1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0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2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2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1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0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1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autoPageBreaks="0"/>
  </sheetPr>
  <dimension ref="A1:BL552"/>
  <sheetViews>
    <sheetView tabSelected="1" topLeftCell="F7" zoomScale="90" zoomScaleNormal="90" workbookViewId="0">
      <selection activeCell="W32" sqref="W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589.1319946981256</v>
      </c>
      <c r="U10" s="190">
        <f>'Données projet'!D9</f>
        <v>6.9929999999999994</v>
      </c>
      <c r="V10" s="189">
        <f>U10*T10</f>
        <v>4119.8000389239924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316.62297606722126</v>
      </c>
      <c r="U11" s="190">
        <f>'Données projet'!D10</f>
        <v>2.4975000000000001</v>
      </c>
      <c r="V11" s="189">
        <f t="shared" ref="V11" si="0">U11*T11</f>
        <v>790.76588272788513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2995.8372077447129</v>
      </c>
      <c r="U12" s="190">
        <f>'Données projet'!D11</f>
        <v>0.49950000000000006</v>
      </c>
      <c r="V12" s="189">
        <f t="shared" ref="V12:V19" si="1">U12*T12</f>
        <v>1496.4206852684842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35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35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6741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911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811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888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-84837.464703806865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74.914065596101977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11</v>
      </c>
      <c r="D25" s="194">
        <f t="shared" si="2"/>
        <v>968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-84912.378769402974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13</v>
      </c>
      <c r="D27" s="194">
        <f t="shared" si="2"/>
        <v>1326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13</v>
      </c>
      <c r="D28" s="194">
        <f t="shared" si="2"/>
        <v>1469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15</v>
      </c>
      <c r="D29" s="194">
        <f t="shared" si="2"/>
        <v>1860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18</v>
      </c>
      <c r="D30" s="194">
        <f t="shared" si="2"/>
        <v>2430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18</v>
      </c>
      <c r="D31" s="194">
        <f t="shared" si="2"/>
        <v>13014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8</v>
      </c>
      <c r="D54" s="191">
        <f>B54*C54</f>
        <v>64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12</v>
      </c>
      <c r="D60" s="191">
        <f t="shared" si="4"/>
        <v>252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12</v>
      </c>
      <c r="D61" s="191">
        <f t="shared" si="4"/>
        <v>252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12</v>
      </c>
      <c r="D62" s="191">
        <f t="shared" si="4"/>
        <v>252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12</v>
      </c>
      <c r="D63" s="191">
        <f t="shared" si="4"/>
        <v>252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15</v>
      </c>
      <c r="D64" s="191">
        <f t="shared" si="4"/>
        <v>315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15</v>
      </c>
      <c r="D65" s="191">
        <f t="shared" si="4"/>
        <v>315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18</v>
      </c>
      <c r="D66" s="191">
        <f t="shared" si="4"/>
        <v>378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18</v>
      </c>
      <c r="D67" s="191">
        <f t="shared" si="4"/>
        <v>378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20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20</v>
      </c>
      <c r="D69" s="191">
        <f t="shared" si="4"/>
        <v>420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23</v>
      </c>
      <c r="D70" s="191">
        <f t="shared" si="4"/>
        <v>460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23</v>
      </c>
      <c r="D71" s="191">
        <f t="shared" si="4"/>
        <v>437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25</v>
      </c>
      <c r="D72" s="191">
        <f t="shared" si="4"/>
        <v>450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>
        <v>25</v>
      </c>
      <c r="D73" s="191">
        <f t="shared" si="4"/>
        <v>7125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14</v>
      </c>
      <c r="C85" s="204">
        <v>9</v>
      </c>
      <c r="D85" s="191">
        <f>B85*C85</f>
        <v>126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42</v>
      </c>
      <c r="C86" s="204">
        <v>12</v>
      </c>
      <c r="D86" s="191">
        <f t="shared" ref="D86:D104" si="6">B86*C86</f>
        <v>504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49</v>
      </c>
      <c r="C87" s="204">
        <v>18</v>
      </c>
      <c r="D87" s="191">
        <f t="shared" si="6"/>
        <v>882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58</v>
      </c>
      <c r="C88" s="204">
        <v>20</v>
      </c>
      <c r="D88" s="191">
        <f t="shared" si="6"/>
        <v>1160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57</v>
      </c>
      <c r="C89" s="204">
        <v>26</v>
      </c>
      <c r="D89" s="191">
        <f t="shared" si="6"/>
        <v>1482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42</v>
      </c>
      <c r="C90" s="204">
        <v>30</v>
      </c>
      <c r="D90" s="191">
        <f t="shared" si="6"/>
        <v>1260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37</v>
      </c>
      <c r="C91" s="204">
        <v>45</v>
      </c>
      <c r="D91" s="191">
        <f t="shared" si="6"/>
        <v>1665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544</v>
      </c>
      <c r="C92" s="204">
        <v>50</v>
      </c>
      <c r="D92" s="191">
        <f t="shared" si="6"/>
        <v>27200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2022-10-17T13:51:46Z</dcterms:modified>
</cp:coreProperties>
</file>