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LBC/Dossiers LBC/DE LAVERGNEE 25 - 30 - 33/DE MOULINS - 8868525/"/>
    </mc:Choice>
  </mc:AlternateContent>
  <xr:revisionPtr revIDLastSave="41" documentId="8_{8FF3D4EC-E6D1-4DB1-AE47-1ED8CB6E0749}" xr6:coauthVersionLast="47" xr6:coauthVersionMax="47" xr10:uidLastSave="{4D2E53B9-3E8B-4160-95AC-CCDE29301C44}"/>
  <bookViews>
    <workbookView xWindow="4500" yWindow="0" windowWidth="18588" windowHeight="12336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HI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G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HH140" i="2"/>
  <c r="EC140" i="2"/>
  <c r="HG140" i="2"/>
  <c r="EB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DI154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DH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FS164" i="2"/>
  <c r="DH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C167" i="2"/>
  <c r="HI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HI168" i="2"/>
  <c r="EW168" i="2"/>
  <c r="DI167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I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EA175" i="2"/>
  <c r="EB175" i="2"/>
  <c r="A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FQ178" i="2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A179" i="2"/>
  <c r="EB179" i="2"/>
  <c r="HI179" i="2"/>
  <c r="EV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FS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EA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G195" i="2" l="1"/>
  <c r="EA195" i="2"/>
  <c r="DH195" i="2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H197" i="2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FS199" i="2"/>
  <c r="EB199" i="2"/>
  <c r="EA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HH201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Z6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H203" i="2" l="1"/>
  <c r="BP203" i="2"/>
  <c r="BC151" i="2" a="1"/>
  <c r="BC151" i="2" s="1"/>
  <c r="BC192" i="2" a="1"/>
  <c r="BC192" i="2" s="1"/>
  <c r="BC47" i="2" a="1"/>
  <c r="BC47" i="2" s="1"/>
  <c r="BC7" i="2" a="1"/>
  <c r="BC7" i="2" s="1"/>
  <c r="BD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AN89" i="2" l="1"/>
  <c r="AN100" i="2"/>
  <c r="AN108" i="2"/>
  <c r="AN50" i="2"/>
  <c r="AN3" i="2"/>
  <c r="C7" i="4" s="1"/>
  <c r="E7" i="4" s="1"/>
  <c r="F7" i="4" s="1"/>
  <c r="G7" i="4" s="1"/>
  <c r="L7" i="4" s="1"/>
  <c r="AN88" i="2"/>
  <c r="AN62" i="2"/>
  <c r="AN51" i="2"/>
  <c r="AN91" i="2"/>
  <c r="AN107" i="2"/>
  <c r="AN13" i="2"/>
  <c r="AN139" i="2"/>
  <c r="AN31" i="2"/>
  <c r="AN202" i="2"/>
  <c r="AN190" i="2"/>
  <c r="AN47" i="2"/>
  <c r="AN73" i="2"/>
  <c r="AN85" i="2"/>
  <c r="AN110" i="2"/>
  <c r="AN60" i="2"/>
  <c r="AN40" i="2"/>
  <c r="AN27" i="2"/>
  <c r="AN18" i="2"/>
  <c r="AN153" i="2"/>
  <c r="AN106" i="2"/>
  <c r="AN129" i="2"/>
  <c r="AN21" i="2"/>
  <c r="AN183" i="2"/>
  <c r="AN162" i="2"/>
  <c r="AN187" i="2"/>
  <c r="AN177" i="2"/>
  <c r="AN72" i="2"/>
  <c r="AN6" i="2"/>
  <c r="AN193" i="2"/>
  <c r="AN149" i="2"/>
  <c r="AN128" i="2"/>
  <c r="AN192" i="2"/>
  <c r="AN83" i="2"/>
  <c r="AN77" i="2"/>
  <c r="AN22" i="2"/>
  <c r="AN19" i="2"/>
  <c r="AN143" i="2"/>
  <c r="AN4" i="2"/>
  <c r="AN146" i="2"/>
  <c r="AN127" i="2"/>
  <c r="AN163" i="2"/>
  <c r="AN29" i="2"/>
  <c r="AN63" i="2"/>
  <c r="AN185" i="2"/>
  <c r="AN41" i="2"/>
  <c r="AN138" i="2"/>
  <c r="AN45" i="2"/>
  <c r="AN130" i="2"/>
  <c r="AN79" i="2"/>
  <c r="AN201" i="2"/>
  <c r="AN69" i="2"/>
  <c r="AN150" i="2"/>
  <c r="AN152" i="2"/>
  <c r="AN160" i="2"/>
  <c r="AN10" i="2"/>
  <c r="AN20" i="2"/>
  <c r="AN61" i="2"/>
  <c r="AN37" i="2"/>
  <c r="AN111" i="2"/>
  <c r="AN33" i="2"/>
  <c r="AN195" i="2"/>
  <c r="AN102" i="2"/>
  <c r="AN24" i="2"/>
  <c r="AN140" i="2"/>
  <c r="AN36" i="2"/>
  <c r="AN82" i="2"/>
  <c r="AN48" i="2"/>
  <c r="AN75" i="2"/>
  <c r="AN191" i="2"/>
  <c r="AN203" i="2"/>
  <c r="AN145" i="2"/>
  <c r="AN182" i="2"/>
  <c r="AN133" i="2"/>
  <c r="AN90" i="2"/>
  <c r="AN165" i="2"/>
  <c r="AN81" i="2"/>
  <c r="AN196" i="2"/>
  <c r="AN141" i="2"/>
  <c r="AN137" i="2"/>
  <c r="AN121" i="2"/>
  <c r="AN104" i="2"/>
  <c r="AN122" i="2"/>
  <c r="AN135" i="2"/>
  <c r="AN173" i="2"/>
  <c r="AN198" i="2"/>
  <c r="AN52" i="2"/>
  <c r="AN87" i="2"/>
  <c r="AN76" i="2"/>
  <c r="AN30" i="2"/>
  <c r="AN148" i="2"/>
  <c r="AN169" i="2"/>
  <c r="AN59" i="2"/>
  <c r="AN64" i="2"/>
  <c r="AN117" i="2"/>
  <c r="AN142" i="2"/>
  <c r="AN70" i="2"/>
  <c r="AN65" i="2"/>
  <c r="AN23" i="2"/>
  <c r="AN116" i="2"/>
  <c r="AN49" i="2"/>
  <c r="AN57" i="2"/>
  <c r="AN171" i="2"/>
  <c r="AN126" i="2"/>
  <c r="AN28" i="2"/>
  <c r="AN174" i="2"/>
  <c r="AN35" i="2"/>
  <c r="AN58" i="2"/>
  <c r="AN54" i="2"/>
  <c r="AN80" i="2"/>
  <c r="AN43" i="2"/>
  <c r="AN101" i="2"/>
  <c r="AN34" i="2"/>
  <c r="AN118" i="2"/>
  <c r="AN92" i="2"/>
  <c r="AN55" i="2"/>
  <c r="AN97" i="2"/>
  <c r="AN164" i="2"/>
  <c r="AN94" i="2"/>
  <c r="AN109" i="2"/>
  <c r="AN25" i="2"/>
  <c r="AN112" i="2"/>
  <c r="AN197" i="2"/>
  <c r="AN15" i="2"/>
  <c r="AN147" i="2"/>
  <c r="AN175" i="2"/>
  <c r="AN131" i="2"/>
  <c r="AN172" i="2"/>
  <c r="AN8" i="2"/>
  <c r="AN7" i="2"/>
  <c r="AN68" i="2"/>
  <c r="AN9" i="2"/>
  <c r="AN99" i="2"/>
  <c r="AN156" i="2"/>
  <c r="AN125" i="2"/>
  <c r="AN67" i="2"/>
  <c r="AN12" i="2"/>
  <c r="AN188" i="2"/>
  <c r="AN46" i="2"/>
  <c r="AN11" i="2"/>
  <c r="AN93" i="2"/>
  <c r="AN157" i="2"/>
  <c r="AN113" i="2"/>
  <c r="AN84" i="2"/>
  <c r="AN199" i="2"/>
  <c r="AN151" i="2"/>
  <c r="AN56" i="2"/>
  <c r="AN42" i="2"/>
  <c r="AN189" i="2"/>
  <c r="AN186" i="2"/>
  <c r="AN86" i="2"/>
  <c r="AN168" i="2"/>
  <c r="AN119" i="2"/>
  <c r="AN170" i="2"/>
  <c r="AN78" i="2"/>
  <c r="AN136" i="2"/>
  <c r="AN154" i="2"/>
  <c r="AN134" i="2"/>
  <c r="AN123" i="2"/>
  <c r="AN178" i="2"/>
  <c r="AN180" i="2"/>
  <c r="AN14" i="2"/>
  <c r="AN39" i="2"/>
  <c r="AN161" i="2"/>
  <c r="AN194" i="2"/>
  <c r="AN5" i="2"/>
  <c r="AN16" i="2"/>
  <c r="AN176" i="2"/>
  <c r="AN74" i="2"/>
  <c r="AN98" i="2"/>
  <c r="AN158" i="2"/>
  <c r="AN166" i="2"/>
  <c r="AN26" i="2"/>
  <c r="AN114" i="2"/>
  <c r="AN105" i="2"/>
  <c r="AN103" i="2"/>
  <c r="AN38" i="2"/>
  <c r="AN120" i="2"/>
  <c r="AN179" i="2"/>
  <c r="AN181" i="2"/>
  <c r="AN95" i="2"/>
  <c r="AN155" i="2"/>
  <c r="AN53" i="2"/>
  <c r="AN159" i="2"/>
  <c r="AN71" i="2"/>
  <c r="AN132" i="2"/>
  <c r="AN96" i="2"/>
  <c r="AN167" i="2"/>
  <c r="AN184" i="2"/>
  <c r="AN115" i="2"/>
  <c r="AN144" i="2"/>
  <c r="AN17" i="2"/>
  <c r="AN66" i="2"/>
  <c r="AN44" i="2"/>
  <c r="AN124" i="2"/>
  <c r="AN32" i="2"/>
  <c r="AN200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<sst xmlns="http://schemas.openxmlformats.org/spreadsheetml/2006/main" count="1175" uniqueCount="325">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</sst>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5.1822653576837583</c:v>
                </c:pt>
                <c:pt idx="2">
                  <c:v>10.125746652531491</c:v>
                </c:pt>
                <c:pt idx="3">
                  <c:v>14.992112681293335</c:v>
                </c:pt>
                <c:pt idx="4">
                  <c:v>19.810943065765517</c:v>
                </c:pt>
                <c:pt idx="5">
                  <c:v>24.59564426023022</c:v>
                </c:pt>
                <c:pt idx="6">
                  <c:v>29.35386386594509</c:v>
                </c:pt>
                <c:pt idx="7">
                  <c:v>34.090531995742133</c:v>
                </c:pt>
                <c:pt idx="8">
                  <c:v>38.809082667849559</c:v>
                </c:pt>
                <c:pt idx="9">
                  <c:v>43.512039929349349</c:v>
                </c:pt>
                <c:pt idx="10">
                  <c:v>48.201334022738315</c:v>
                </c:pt>
                <c:pt idx="11">
                  <c:v>52.878486802419069</c:v>
                </c:pt>
                <c:pt idx="12">
                  <c:v>57.544727551346078</c:v>
                </c:pt>
                <c:pt idx="13">
                  <c:v>62.201068988831217</c:v>
                </c:pt>
                <c:pt idx="14">
                  <c:v>66.848359180604049</c:v>
                </c:pt>
                <c:pt idx="15">
                  <c:v>71.487318175089399</c:v>
                </c:pt>
                <c:pt idx="16">
                  <c:v>76.118564582726847</c:v>
                </c:pt>
                <c:pt idx="17">
                  <c:v>80.742635317154324</c:v>
                </c:pt>
                <c:pt idx="18">
                  <c:v>85.360000557388403</c:v>
                </c:pt>
                <c:pt idx="19">
                  <c:v>89.971075289753273</c:v>
                </c:pt>
                <c:pt idx="20">
                  <c:v>94.576228350610691</c:v>
                </c:pt>
                <c:pt idx="21">
                  <c:v>99.175789609148339</c:v>
                </c:pt>
                <c:pt idx="22">
                  <c:v>103.77005574325341</c:v>
                </c:pt>
                <c:pt idx="23">
                  <c:v>108.35929493554205</c:v>
                </c:pt>
                <c:pt idx="24">
                  <c:v>112.943750729643</c:v>
                </c:pt>
                <c:pt idx="25">
                  <c:v>117.52364522565694</c:v>
                </c:pt>
                <c:pt idx="26">
                  <c:v>122.09918174995046</c:v>
                </c:pt>
                <c:pt idx="27">
                  <c:v>126.67054710265982</c:v>
                </c:pt>
                <c:pt idx="28">
                  <c:v>131.23791346287058</c:v>
                </c:pt>
                <c:pt idx="29">
                  <c:v>135.80144001398116</c:v>
                </c:pt>
                <c:pt idx="30">
                  <c:v>140.36127433857891</c:v>
                </c:pt>
                <c:pt idx="31">
                  <c:v>144.91755362210907</c:v>
                </c:pt>
                <c:pt idx="32">
                  <c:v>149.47040569686848</c:v>
                </c:pt>
                <c:pt idx="33">
                  <c:v>154.0199499518335</c:v>
                </c:pt>
                <c:pt idx="34">
                  <c:v>158.56629812910811</c:v>
                </c:pt>
                <c:pt idx="35">
                  <c:v>163.10955502403874</c:v>
                </c:pt>
                <c:pt idx="36">
                  <c:v>167.64981910306696</c:v>
                </c:pt>
                <c:pt idx="37">
                  <c:v>172.18718305100217</c:v>
                </c:pt>
                <c:pt idx="38">
                  <c:v>176.72173425746576</c:v>
                </c:pt>
                <c:pt idx="39">
                  <c:v>181.25355525069003</c:v>
                </c:pt>
                <c:pt idx="40">
                  <c:v>185.78272408557322</c:v>
                </c:pt>
                <c:pt idx="41">
                  <c:v>190.30931469183682</c:v>
                </c:pt>
                <c:pt idx="42">
                  <c:v>194.83339718725929</c:v>
                </c:pt>
                <c:pt idx="43">
                  <c:v>199.35503816023848</c:v>
                </c:pt>
                <c:pt idx="44">
                  <c:v>203.87430092532801</c:v>
                </c:pt>
                <c:pt idx="45">
                  <c:v>208.39124575488847</c:v>
                </c:pt>
                <c:pt idx="46">
                  <c:v>146.35710105921126</c:v>
                </c:pt>
                <c:pt idx="47">
                  <c:v>162.83660823640167</c:v>
                </c:pt>
                <c:pt idx="48">
                  <c:v>179.27666110179868</c:v>
                </c:pt>
                <c:pt idx="49">
                  <c:v>195.68138889273439</c:v>
                </c:pt>
                <c:pt idx="50">
                  <c:v>212.05417093952585</c:v>
                </c:pt>
                <c:pt idx="51">
                  <c:v>228.39782153758529</c:v>
                </c:pt>
                <c:pt idx="52">
                  <c:v>244.71471898534048</c:v>
                </c:pt>
                <c:pt idx="53">
                  <c:v>261.00689832879806</c:v>
                </c:pt>
                <c:pt idx="54">
                  <c:v>195.1921733583375</c:v>
                </c:pt>
                <c:pt idx="55">
                  <c:v>211.32170350149227</c:v>
                </c:pt>
                <c:pt idx="56">
                  <c:v>227.422853900511</c:v>
                </c:pt>
                <c:pt idx="57">
                  <c:v>243.49791694752594</c:v>
                </c:pt>
                <c:pt idx="58">
                  <c:v>259.54885745296002</c:v>
                </c:pt>
                <c:pt idx="59">
                  <c:v>275.57737725589118</c:v>
                </c:pt>
                <c:pt idx="60">
                  <c:v>291.58496399502098</c:v>
                </c:pt>
                <c:pt idx="61">
                  <c:v>307.57292859760366</c:v>
                </c:pt>
                <c:pt idx="62">
                  <c:v>239.84667772211341</c:v>
                </c:pt>
                <c:pt idx="63">
                  <c:v>255.65984001487422</c:v>
                </c:pt>
                <c:pt idx="64">
                  <c:v>271.45087692406486</c:v>
                </c:pt>
                <c:pt idx="65">
                  <c:v>287.22125677879279</c:v>
                </c:pt>
                <c:pt idx="66">
                  <c:v>302.9722734584289</c:v>
                </c:pt>
                <c:pt idx="67">
                  <c:v>318.70507530239303</c:v>
                </c:pt>
                <c:pt idx="68">
                  <c:v>334.42068800881117</c:v>
                </c:pt>
                <c:pt idx="69">
                  <c:v>350.12003300139162</c:v>
                </c:pt>
                <c:pt idx="70">
                  <c:v>286.49382865897553</c:v>
                </c:pt>
                <c:pt idx="71">
                  <c:v>300.30802702917401</c:v>
                </c:pt>
                <c:pt idx="72">
                  <c:v>314.10807777988293</c:v>
                </c:pt>
                <c:pt idx="73">
                  <c:v>327.89469010372414</c:v>
                </c:pt>
                <c:pt idx="74">
                  <c:v>341.6685086764171</c:v>
                </c:pt>
                <c:pt idx="75">
                  <c:v>355.43012194528234</c:v>
                </c:pt>
                <c:pt idx="76">
                  <c:v>369.18006906658911</c:v>
                </c:pt>
                <c:pt idx="77">
                  <c:v>382.91884575514433</c:v>
                </c:pt>
                <c:pt idx="78">
                  <c:v>314.10807777988293</c:v>
                </c:pt>
                <c:pt idx="79">
                  <c:v>330.31205751269079</c:v>
                </c:pt>
                <c:pt idx="80">
                  <c:v>346.49850623818423</c:v>
                </c:pt>
                <c:pt idx="81">
                  <c:v>362.66835805764981</c:v>
                </c:pt>
                <c:pt idx="82">
                  <c:v>378.82245698743469</c:v>
                </c:pt>
                <c:pt idx="83">
                  <c:v>394.96156919786182</c:v>
                </c:pt>
                <c:pt idx="84">
                  <c:v>411.08639314698871</c:v>
                </c:pt>
                <c:pt idx="85">
                  <c:v>427.19756804132612</c:v>
                </c:pt>
                <c:pt idx="86">
                  <c:v>375.59285962266853</c:v>
                </c:pt>
                <c:pt idx="87">
                  <c:v>389.47109094329409</c:v>
                </c:pt>
                <c:pt idx="88">
                  <c:v>403.33859253105874</c:v>
                </c:pt>
                <c:pt idx="89">
                  <c:v>417.19578523729109</c:v>
                </c:pt>
                <c:pt idx="90">
                  <c:v>431.04305967702015</c:v>
                </c:pt>
                <c:pt idx="91">
                  <c:v>444.88077932325183</c:v>
                </c:pt>
                <c:pt idx="92">
                  <c:v>458.70928319621322</c:v>
                </c:pt>
                <c:pt idx="93">
                  <c:v>472.52888821143875</c:v>
                </c:pt>
                <c:pt idx="94">
                  <c:v>486.3398912388916</c:v>
                </c:pt>
                <c:pt idx="95">
                  <c:v>500.14257091604276</c:v>
                </c:pt>
                <c:pt idx="96">
                  <c:v>449.68337101454784</c:v>
                </c:pt>
                <c:pt idx="97">
                  <c:v>460.62919798538474</c:v>
                </c:pt>
                <c:pt idx="98">
                  <c:v>471.56947467131835</c:v>
                </c:pt>
                <c:pt idx="99">
                  <c:v>482.50434799892838</c:v>
                </c:pt>
                <c:pt idx="100">
                  <c:v>493.43395769164931</c:v>
                </c:pt>
                <c:pt idx="101">
                  <c:v>504.35843677803229</c:v>
                </c:pt>
                <c:pt idx="102">
                  <c:v>515.27791205368248</c:v>
                </c:pt>
                <c:pt idx="103">
                  <c:v>526.19250450200536</c:v>
                </c:pt>
                <c:pt idx="104">
                  <c:v>537.10232967822878</c:v>
                </c:pt>
                <c:pt idx="105">
                  <c:v>548.00749806060469</c:v>
                </c:pt>
                <c:pt idx="106">
                  <c:v>478.66815678776123</c:v>
                </c:pt>
                <c:pt idx="107">
                  <c:v>491.70857427594166</c:v>
                </c:pt>
                <c:pt idx="108">
                  <c:v>504.74166024448397</c:v>
                </c:pt>
                <c:pt idx="109">
                  <c:v>517.76763064124975</c:v>
                </c:pt>
                <c:pt idx="110">
                  <c:v>530.78668966466364</c:v>
                </c:pt>
                <c:pt idx="111">
                  <c:v>543.79903068153794</c:v>
                </c:pt>
                <c:pt idx="112">
                  <c:v>556.80483705250037</c:v>
                </c:pt>
                <c:pt idx="113">
                  <c:v>569.80428287631264</c:v>
                </c:pt>
                <c:pt idx="114">
                  <c:v>582.7975336627527</c:v>
                </c:pt>
                <c:pt idx="115">
                  <c:v>595.7847469423931</c:v>
                </c:pt>
                <c:pt idx="116">
                  <c:v>524.08655437676134</c:v>
                </c:pt>
                <c:pt idx="117">
                  <c:v>536.52824539615131</c:v>
                </c:pt>
                <c:pt idx="118">
                  <c:v>548.96387316130563</c:v>
                </c:pt>
                <c:pt idx="119">
                  <c:v>561.39359434700032</c:v>
                </c:pt>
                <c:pt idx="120">
                  <c:v>573.81755812617416</c:v>
                </c:pt>
                <c:pt idx="121">
                  <c:v>586.23590668718828</c:v>
                </c:pt>
                <c:pt idx="122">
                  <c:v>598.64877570499334</c:v>
                </c:pt>
                <c:pt idx="123">
                  <c:v>611.05629477119896</c:v>
                </c:pt>
                <c:pt idx="124">
                  <c:v>623.45858778741035</c:v>
                </c:pt>
                <c:pt idx="125">
                  <c:v>635.85577332565333</c:v>
                </c:pt>
                <c:pt idx="126">
                  <c:v>558.33451047614574</c:v>
                </c:pt>
                <c:pt idx="127">
                  <c:v>570.56876165925371</c:v>
                </c:pt>
                <c:pt idx="128">
                  <c:v>582.79753366275258</c:v>
                </c:pt>
                <c:pt idx="129">
                  <c:v>595.02095762588749</c:v>
                </c:pt>
                <c:pt idx="130">
                  <c:v>607.23915886223847</c:v>
                </c:pt>
                <c:pt idx="131">
                  <c:v>619.45225723298938</c:v>
                </c:pt>
                <c:pt idx="132">
                  <c:v>631.66036748923909</c:v>
                </c:pt>
                <c:pt idx="133">
                  <c:v>643.86359958648575</c:v>
                </c:pt>
                <c:pt idx="134">
                  <c:v>656.06205897403868</c:v>
                </c:pt>
                <c:pt idx="135">
                  <c:v>668.25584686179945</c:v>
                </c:pt>
                <c:pt idx="136">
                  <c:v>586.99993242228959</c:v>
                </c:pt>
                <c:pt idx="137">
                  <c:v>601.13070346995062</c:v>
                </c:pt>
                <c:pt idx="138">
                  <c:v>615.25457298643448</c:v>
                </c:pt>
                <c:pt idx="139">
                  <c:v>629.37172164678998</c:v>
                </c:pt>
                <c:pt idx="140">
                  <c:v>643.48232136416584</c:v>
                </c:pt>
                <c:pt idx="141">
                  <c:v>657.58653590152892</c:v>
                </c:pt>
                <c:pt idx="142">
                  <c:v>671.68452142819592</c:v>
                </c:pt>
                <c:pt idx="143">
                  <c:v>685.77642702724586</c:v>
                </c:pt>
                <c:pt idx="144">
                  <c:v>699.86239515908301</c:v>
                </c:pt>
                <c:pt idx="145">
                  <c:v>713.94256208576314</c:v>
                </c:pt>
                <c:pt idx="146">
                  <c:v>641.76651160533413</c:v>
                </c:pt>
                <c:pt idx="147">
                  <c:v>653.39404860903824</c:v>
                </c:pt>
                <c:pt idx="148">
                  <c:v>665.01732203429958</c:v>
                </c:pt>
                <c:pt idx="149">
                  <c:v>676.63641687400468</c:v>
                </c:pt>
                <c:pt idx="150">
                  <c:v>688.25141496528465</c:v>
                </c:pt>
                <c:pt idx="151">
                  <c:v>699.86239515908335</c:v>
                </c:pt>
                <c:pt idx="152">
                  <c:v>711.46943347789545</c:v>
                </c:pt>
                <c:pt idx="153">
                  <c:v>723.07260326268113</c:v>
                </c:pt>
                <c:pt idx="154">
                  <c:v>734.67197530986607</c:v>
                </c:pt>
                <c:pt idx="155">
                  <c:v>746.26761799924361</c:v>
                </c:pt>
                <c:pt idx="156">
                  <c:v>663.30267762477615</c:v>
                </c:pt>
                <c:pt idx="157">
                  <c:v>677.39818073146819</c:v>
                </c:pt>
                <c:pt idx="158">
                  <c:v>691.4876624381701</c:v>
                </c:pt>
                <c:pt idx="159">
                  <c:v>705.57126264337137</c:v>
                </c:pt>
                <c:pt idx="160">
                  <c:v>719.6491152090033</c:v>
                </c:pt>
                <c:pt idx="161">
                  <c:v>733.72134833634766</c:v>
                </c:pt>
                <c:pt idx="162">
                  <c:v>747.78808491162965</c:v>
                </c:pt>
                <c:pt idx="163">
                  <c:v>761.8494428242758</c:v>
                </c:pt>
                <c:pt idx="164">
                  <c:v>775.90553526047267</c:v>
                </c:pt>
                <c:pt idx="165">
                  <c:v>789.95647097436506</c:v>
                </c:pt>
                <c:pt idx="166">
                  <c:v>737.14348827639867</c:v>
                </c:pt>
                <c:pt idx="167">
                  <c:v>769.82786411059317</c:v>
                </c:pt>
                <c:pt idx="168">
                  <c:v>802.48412111464143</c:v>
                </c:pt>
                <c:pt idx="169">
                  <c:v>835.11356236429003</c:v>
                </c:pt>
                <c:pt idx="170">
                  <c:v>867.7173809929759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2.0799885623216916</c:v>
                </c:pt>
                <c:pt idx="2">
                  <c:v>4.0565513374209239</c:v>
                </c:pt>
                <c:pt idx="3">
                  <c:v>5.9997127748970529</c:v>
                </c:pt>
                <c:pt idx="4">
                  <c:v>7.9222848506989019</c:v>
                </c:pt>
                <c:pt idx="5">
                  <c:v>9.8300743723308273</c:v>
                </c:pt>
                <c:pt idx="6">
                  <c:v>11.726393785234293</c:v>
                </c:pt>
                <c:pt idx="7">
                  <c:v>13.613378494907844</c:v>
                </c:pt>
                <c:pt idx="8">
                  <c:v>15.492515895586974</c:v>
                </c:pt>
                <c:pt idx="9">
                  <c:v>17.364899240955943</c:v>
                </c:pt>
                <c:pt idx="10">
                  <c:v>19.231364587020316</c:v>
                </c:pt>
                <c:pt idx="11">
                  <c:v>21.092571102519226</c:v>
                </c:pt>
                <c:pt idx="12">
                  <c:v>22.94905123319371</c:v>
                </c:pt>
                <c:pt idx="13">
                  <c:v>24.801243623444169</c:v>
                </c:pt>
                <c:pt idx="14">
                  <c:v>26.649515600405653</c:v>
                </c:pt>
                <c:pt idx="15">
                  <c:v>28.494179042409929</c:v>
                </c:pt>
                <c:pt idx="16">
                  <c:v>30.33550189142494</c:v>
                </c:pt>
                <c:pt idx="17">
                  <c:v>32.173716703656488</c:v>
                </c:pt>
                <c:pt idx="18">
                  <c:v>34.009027130195669</c:v>
                </c:pt>
                <c:pt idx="19">
                  <c:v>35.841612916234673</c:v>
                </c:pt>
                <c:pt idx="20">
                  <c:v>37.671633817791609</c:v>
                </c:pt>
                <c:pt idx="21">
                  <c:v>39.499232712829155</c:v>
                </c:pt>
                <c:pt idx="22">
                  <c:v>41.324538102988818</c:v>
                </c:pt>
                <c:pt idx="23">
                  <c:v>43.147666147606593</c:v>
                </c:pt>
                <c:pt idx="24">
                  <c:v>44.968722334005328</c:v>
                </c:pt>
                <c:pt idx="25">
                  <c:v>46.787802861560664</c:v>
                </c:pt>
                <c:pt idx="26">
                  <c:v>48.604995798082825</c:v>
                </c:pt>
                <c:pt idx="27">
                  <c:v>50.420382053289622</c:v>
                </c:pt>
                <c:pt idx="28">
                  <c:v>52.234036204006912</c:v>
                </c:pt>
                <c:pt idx="29">
                  <c:v>54.046027198170684</c:v>
                </c:pt>
                <c:pt idx="30">
                  <c:v>55.85641895899721</c:v>
                </c:pt>
                <c:pt idx="31">
                  <c:v>57.665270906334314</c:v>
                </c:pt>
                <c:pt idx="32">
                  <c:v>59.472638408851729</c:v>
                </c:pt>
                <c:pt idx="33">
                  <c:v>61.278573178119878</c:v>
                </c:pt>
                <c:pt idx="34">
                  <c:v>63.083123613579382</c:v>
                </c:pt>
                <c:pt idx="35">
                  <c:v>64.886335105785449</c:v>
                </c:pt>
                <c:pt idx="36">
                  <c:v>66.688250304021807</c:v>
                </c:pt>
                <c:pt idx="37">
                  <c:v>68.488909353343658</c:v>
                </c:pt>
                <c:pt idx="38">
                  <c:v>70.288350105273665</c:v>
                </c:pt>
                <c:pt idx="39">
                  <c:v>72.086608305695805</c:v>
                </c:pt>
                <c:pt idx="40">
                  <c:v>73.883717762935518</c:v>
                </c:pt>
                <c:pt idx="41">
                  <c:v>75.679710498558791</c:v>
                </c:pt>
                <c:pt idx="42">
                  <c:v>77.474616883044959</c:v>
                </c:pt>
                <c:pt idx="43">
                  <c:v>79.268465758174287</c:v>
                </c:pt>
                <c:pt idx="44">
                  <c:v>81.061284547709775</c:v>
                </c:pt>
                <c:pt idx="45">
                  <c:v>82.853099357733484</c:v>
                </c:pt>
                <c:pt idx="46">
                  <c:v>84.643935067812592</c:v>
                </c:pt>
                <c:pt idx="47">
                  <c:v>86.433815414014205</c:v>
                </c:pt>
                <c:pt idx="48">
                  <c:v>88.222763064655922</c:v>
                </c:pt>
                <c:pt idx="49">
                  <c:v>90.010799689565431</c:v>
                </c:pt>
                <c:pt idx="50">
                  <c:v>91.797946023526876</c:v>
                </c:pt>
                <c:pt idx="51">
                  <c:v>93.584221924507901</c:v>
                </c:pt>
                <c:pt idx="52">
                  <c:v>95.369646427190915</c:v>
                </c:pt>
                <c:pt idx="53">
                  <c:v>97.154237792270294</c:v>
                </c:pt>
                <c:pt idx="54">
                  <c:v>98.938013551923504</c:v>
                </c:pt>
                <c:pt idx="55">
                  <c:v>100.72099055181911</c:v>
                </c:pt>
                <c:pt idx="56">
                  <c:v>102.50318498998304</c:v>
                </c:pt>
                <c:pt idx="57">
                  <c:v>104.28461245280988</c:v>
                </c:pt>
                <c:pt idx="58">
                  <c:v>106.06528794847598</c:v>
                </c:pt>
                <c:pt idx="59">
                  <c:v>107.84522593798255</c:v>
                </c:pt>
                <c:pt idx="60">
                  <c:v>109.62444036403467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5" zoomScaleNormal="85" workbookViewId="0">
      <selection activeCell="B18" sqref="B18:M31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7" zoomScale="90" zoomScaleNormal="90" workbookViewId="0">
      <selection activeCell="C14" sqref="C14"/>
    </sheetView>
  </sheetViews>
  <sheetFormatPr baseColWidth="10" defaultColWidth="11.44140625" defaultRowHeight="14.4" x14ac:dyDescent="0.3"/>
  <cols>
    <col min="1" max="1" width="13.7773437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21875" style="23" customWidth="1"/>
    <col min="6" max="6" width="28.77734375" style="23" bestFit="1" customWidth="1"/>
    <col min="7" max="8" width="14.7773437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0" t="s">
        <v>231</v>
      </c>
      <c r="B5" s="270"/>
      <c r="C5" s="24">
        <v>6.4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0.55500000000000005</v>
      </c>
      <c r="D9" s="33">
        <f t="shared" ref="D9:D18" si="0">C9*$C$5</f>
        <v>3.5520000000000005</v>
      </c>
      <c r="E9" s="34">
        <v>170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29</v>
      </c>
      <c r="C10" s="32">
        <v>0.215</v>
      </c>
      <c r="D10" s="33">
        <f t="shared" si="0"/>
        <v>1.3760000000000001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30</v>
      </c>
      <c r="C11" s="32">
        <v>0.23</v>
      </c>
      <c r="D11" s="33">
        <f t="shared" si="0"/>
        <v>1.4720000000000002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6.4000000000000012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1" t="s">
        <v>186</v>
      </c>
      <c r="D34" s="261"/>
      <c r="E34" s="262" t="s">
        <v>187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45</v>
      </c>
      <c r="B36" s="60">
        <v>104</v>
      </c>
      <c r="C36" s="60">
        <v>1</v>
      </c>
      <c r="D36" s="60">
        <v>40</v>
      </c>
      <c r="E36" s="51"/>
      <c r="F36" s="51"/>
      <c r="G36" s="51"/>
      <c r="H36" s="51">
        <v>1</v>
      </c>
      <c r="I36" s="49">
        <f>IFERROR(B36/A36,"")</f>
        <v>2.3111111111111109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53</v>
      </c>
      <c r="B37" s="60">
        <v>131</v>
      </c>
      <c r="C37" s="60">
        <v>2</v>
      </c>
      <c r="D37" s="60">
        <v>42</v>
      </c>
      <c r="E37" s="51"/>
      <c r="F37" s="51"/>
      <c r="G37" s="51"/>
      <c r="H37" s="51">
        <v>1</v>
      </c>
      <c r="I37" s="53">
        <f t="shared" ref="I37:I52" si="1">IF(A37&lt;&gt;0,(B37-(B36-D36))/(A37-A36),"")</f>
        <v>8.375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61</v>
      </c>
      <c r="B38" s="60">
        <v>155</v>
      </c>
      <c r="C38" s="60">
        <v>3</v>
      </c>
      <c r="D38" s="60">
        <v>43</v>
      </c>
      <c r="E38" s="51">
        <v>0.5</v>
      </c>
      <c r="F38" s="51">
        <v>0.4</v>
      </c>
      <c r="G38" s="51"/>
      <c r="H38" s="51">
        <v>0.1</v>
      </c>
      <c r="I38" s="53">
        <f t="shared" si="1"/>
        <v>8.25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69</v>
      </c>
      <c r="B39" s="60">
        <v>177</v>
      </c>
      <c r="C39" s="60">
        <v>4</v>
      </c>
      <c r="D39" s="60">
        <v>40</v>
      </c>
      <c r="E39" s="51">
        <v>0.5</v>
      </c>
      <c r="F39" s="51">
        <v>0.4</v>
      </c>
      <c r="G39" s="51"/>
      <c r="H39" s="51">
        <v>0.1</v>
      </c>
      <c r="I39" s="49">
        <f t="shared" si="1"/>
        <v>8.125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77</v>
      </c>
      <c r="B40" s="60">
        <v>194</v>
      </c>
      <c r="C40" s="60">
        <v>5</v>
      </c>
      <c r="D40" s="60">
        <v>44</v>
      </c>
      <c r="E40" s="51">
        <v>0.5</v>
      </c>
      <c r="F40" s="51">
        <v>0.4</v>
      </c>
      <c r="G40" s="51"/>
      <c r="H40" s="51">
        <v>0.1</v>
      </c>
      <c r="I40" s="49">
        <f t="shared" si="1"/>
        <v>7.125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85</v>
      </c>
      <c r="B41" s="60">
        <v>217</v>
      </c>
      <c r="C41" s="60">
        <v>6</v>
      </c>
      <c r="D41" s="60">
        <v>34</v>
      </c>
      <c r="E41" s="51">
        <v>0.5</v>
      </c>
      <c r="F41" s="51">
        <v>0.4</v>
      </c>
      <c r="G41" s="51"/>
      <c r="H41" s="51">
        <v>0.1</v>
      </c>
      <c r="I41" s="53">
        <f t="shared" si="1"/>
        <v>8.375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95</v>
      </c>
      <c r="B42" s="60">
        <v>255</v>
      </c>
      <c r="C42" s="60">
        <v>7</v>
      </c>
      <c r="D42" s="60">
        <v>32</v>
      </c>
      <c r="E42" s="51">
        <v>0.5</v>
      </c>
      <c r="F42" s="51">
        <v>0.4</v>
      </c>
      <c r="G42" s="51"/>
      <c r="H42" s="51">
        <v>0.1</v>
      </c>
      <c r="I42" s="53">
        <f t="shared" si="1"/>
        <v>7.2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105</v>
      </c>
      <c r="B43" s="60">
        <v>280</v>
      </c>
      <c r="C43" s="60">
        <v>8</v>
      </c>
      <c r="D43" s="60">
        <v>43</v>
      </c>
      <c r="E43" s="51">
        <v>0.5</v>
      </c>
      <c r="F43" s="51">
        <v>0.4</v>
      </c>
      <c r="G43" s="51"/>
      <c r="H43" s="51">
        <v>0.1</v>
      </c>
      <c r="I43" s="49">
        <f t="shared" si="1"/>
        <v>5.7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115</v>
      </c>
      <c r="B44" s="60">
        <v>305</v>
      </c>
      <c r="C44" s="60">
        <v>9</v>
      </c>
      <c r="D44" s="60">
        <v>44</v>
      </c>
      <c r="E44" s="51">
        <v>0.5</v>
      </c>
      <c r="F44" s="51">
        <v>0.4</v>
      </c>
      <c r="G44" s="51"/>
      <c r="H44" s="51">
        <v>0.1</v>
      </c>
      <c r="I44" s="49">
        <f t="shared" si="1"/>
        <v>6.8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125</v>
      </c>
      <c r="B45" s="60">
        <v>326</v>
      </c>
      <c r="C45" s="60">
        <v>10</v>
      </c>
      <c r="D45" s="60">
        <v>47</v>
      </c>
      <c r="E45" s="51">
        <v>0.5</v>
      </c>
      <c r="F45" s="51">
        <v>0.4</v>
      </c>
      <c r="G45" s="51"/>
      <c r="H45" s="51">
        <v>0.1</v>
      </c>
      <c r="I45" s="49">
        <f t="shared" si="1"/>
        <v>6.5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135</v>
      </c>
      <c r="B46" s="60">
        <v>343</v>
      </c>
      <c r="C46" s="60">
        <v>11</v>
      </c>
      <c r="D46" s="60">
        <v>50</v>
      </c>
      <c r="E46" s="51">
        <v>0.5</v>
      </c>
      <c r="F46" s="51">
        <v>0.4</v>
      </c>
      <c r="G46" s="51"/>
      <c r="H46" s="51">
        <v>0.1</v>
      </c>
      <c r="I46" s="49">
        <f t="shared" si="1"/>
        <v>6.4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145</v>
      </c>
      <c r="B47" s="60">
        <v>367</v>
      </c>
      <c r="C47" s="60">
        <v>12</v>
      </c>
      <c r="D47" s="60">
        <v>44</v>
      </c>
      <c r="E47" s="51">
        <v>0.5</v>
      </c>
      <c r="F47" s="51">
        <v>0.4</v>
      </c>
      <c r="G47" s="51"/>
      <c r="H47" s="51">
        <v>0.1</v>
      </c>
      <c r="I47" s="49">
        <f t="shared" si="1"/>
        <v>7.4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155</v>
      </c>
      <c r="B48" s="60">
        <v>384</v>
      </c>
      <c r="C48" s="60">
        <v>13</v>
      </c>
      <c r="D48" s="60">
        <v>51</v>
      </c>
      <c r="E48" s="51">
        <v>0.5</v>
      </c>
      <c r="F48" s="51">
        <v>0.4</v>
      </c>
      <c r="G48" s="51"/>
      <c r="H48" s="51">
        <v>0.1</v>
      </c>
      <c r="I48" s="49">
        <f t="shared" si="1"/>
        <v>6.1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165</v>
      </c>
      <c r="B49" s="60">
        <v>407</v>
      </c>
      <c r="C49" s="60">
        <v>14</v>
      </c>
      <c r="D49" s="60">
        <v>45</v>
      </c>
      <c r="E49" s="51">
        <v>1</v>
      </c>
      <c r="F49" s="51"/>
      <c r="G49" s="51"/>
      <c r="H49" s="51"/>
      <c r="I49" s="49">
        <f t="shared" si="1"/>
        <v>7.4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170</v>
      </c>
      <c r="B50" s="50">
        <v>448</v>
      </c>
      <c r="C50" s="50" t="s">
        <v>324</v>
      </c>
      <c r="D50" s="50">
        <v>448</v>
      </c>
      <c r="E50" s="51">
        <v>1</v>
      </c>
      <c r="F50" s="51"/>
      <c r="G50" s="51"/>
      <c r="H50" s="51"/>
      <c r="I50" s="49">
        <f t="shared" si="1"/>
        <v>17.2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ref="I53:I55" si="2">IF(A53&lt;&gt;0,(B53-(B52-D52))/(A53-A52),"")</f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2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Merisier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1" t="s">
        <v>186</v>
      </c>
      <c r="D60" s="261"/>
      <c r="E60" s="262" t="s">
        <v>187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60">
        <v>20</v>
      </c>
      <c r="B62" s="257">
        <v>117</v>
      </c>
      <c r="C62" s="257">
        <v>1</v>
      </c>
      <c r="D62" s="60">
        <v>27</v>
      </c>
      <c r="E62" s="258"/>
      <c r="F62" s="258"/>
      <c r="G62" s="258"/>
      <c r="H62" s="258">
        <v>1</v>
      </c>
      <c r="I62" s="53">
        <f>IFERROR(B62/A62,"")</f>
        <v>5.85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60">
        <v>25</v>
      </c>
      <c r="B63" s="257">
        <v>140</v>
      </c>
      <c r="C63" s="257">
        <v>2</v>
      </c>
      <c r="D63" s="60">
        <v>16</v>
      </c>
      <c r="E63" s="258"/>
      <c r="F63" s="258"/>
      <c r="G63" s="258"/>
      <c r="H63" s="258">
        <v>1</v>
      </c>
      <c r="I63" s="49">
        <f t="shared" ref="I63:I78" si="3">IF(A63&lt;&gt;0,(B63-(B62-D62))/(A63-A62),"")</f>
        <v>10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60">
        <v>30</v>
      </c>
      <c r="B64" s="257">
        <v>178</v>
      </c>
      <c r="C64" s="257">
        <v>3</v>
      </c>
      <c r="D64" s="60">
        <v>23</v>
      </c>
      <c r="E64" s="258"/>
      <c r="F64" s="258"/>
      <c r="G64" s="258"/>
      <c r="H64" s="258">
        <v>1</v>
      </c>
      <c r="I64" s="49">
        <f t="shared" si="3"/>
        <v>10.8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60">
        <v>35</v>
      </c>
      <c r="B65" s="257">
        <v>213</v>
      </c>
      <c r="C65" s="257">
        <v>4</v>
      </c>
      <c r="D65" s="60">
        <v>29</v>
      </c>
      <c r="E65" s="258"/>
      <c r="F65" s="258">
        <v>0.5</v>
      </c>
      <c r="G65" s="258"/>
      <c r="H65" s="258">
        <v>0.5</v>
      </c>
      <c r="I65" s="49">
        <f t="shared" si="3"/>
        <v>11.6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60">
        <v>40</v>
      </c>
      <c r="B66" s="257">
        <v>241</v>
      </c>
      <c r="C66" s="257">
        <v>5</v>
      </c>
      <c r="D66" s="60">
        <v>32</v>
      </c>
      <c r="E66" s="258"/>
      <c r="F66" s="258">
        <v>0.5</v>
      </c>
      <c r="G66" s="258"/>
      <c r="H66" s="258">
        <v>0.5</v>
      </c>
      <c r="I66" s="49">
        <f t="shared" si="3"/>
        <v>11.4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60">
        <v>45</v>
      </c>
      <c r="B67" s="257">
        <v>263</v>
      </c>
      <c r="C67" s="257">
        <v>6</v>
      </c>
      <c r="D67" s="60">
        <v>36</v>
      </c>
      <c r="E67" s="258">
        <v>0.4</v>
      </c>
      <c r="F67" s="258">
        <v>0.5</v>
      </c>
      <c r="G67" s="258"/>
      <c r="H67" s="258">
        <v>0.1</v>
      </c>
      <c r="I67" s="49">
        <f t="shared" si="3"/>
        <v>10.8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60">
        <v>50</v>
      </c>
      <c r="B68" s="257">
        <v>283</v>
      </c>
      <c r="C68" s="257">
        <v>7</v>
      </c>
      <c r="D68" s="60">
        <v>35</v>
      </c>
      <c r="E68" s="258">
        <v>0.4</v>
      </c>
      <c r="F68" s="258">
        <v>0.5</v>
      </c>
      <c r="G68" s="258"/>
      <c r="H68" s="258">
        <v>0.1</v>
      </c>
      <c r="I68" s="49">
        <f t="shared" si="3"/>
        <v>11.2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60">
        <v>55</v>
      </c>
      <c r="B69" s="257">
        <v>297</v>
      </c>
      <c r="C69" s="257">
        <v>8</v>
      </c>
      <c r="D69" s="60">
        <v>35</v>
      </c>
      <c r="E69" s="258">
        <v>0.4</v>
      </c>
      <c r="F69" s="258">
        <v>0.5</v>
      </c>
      <c r="G69" s="258"/>
      <c r="H69" s="258">
        <v>0.1</v>
      </c>
      <c r="I69" s="49">
        <f t="shared" si="3"/>
        <v>9.8000000000000007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60">
        <v>60</v>
      </c>
      <c r="B70" s="257">
        <v>310</v>
      </c>
      <c r="C70" s="257">
        <v>9</v>
      </c>
      <c r="D70" s="60">
        <v>37</v>
      </c>
      <c r="E70" s="258">
        <v>0.5</v>
      </c>
      <c r="F70" s="258">
        <v>0.5</v>
      </c>
      <c r="G70" s="258"/>
      <c r="H70" s="258"/>
      <c r="I70" s="49">
        <f t="shared" si="3"/>
        <v>9.6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60">
        <v>65</v>
      </c>
      <c r="B71" s="257">
        <v>319</v>
      </c>
      <c r="C71" s="257">
        <v>10</v>
      </c>
      <c r="D71" s="60">
        <v>37</v>
      </c>
      <c r="E71" s="258">
        <v>0.5</v>
      </c>
      <c r="F71" s="258">
        <v>0.5</v>
      </c>
      <c r="G71" s="258"/>
      <c r="H71" s="258"/>
      <c r="I71" s="49">
        <f t="shared" si="3"/>
        <v>9.1999999999999993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60">
        <v>70</v>
      </c>
      <c r="B72" s="257">
        <v>327</v>
      </c>
      <c r="C72" s="257">
        <v>11</v>
      </c>
      <c r="D72" s="60">
        <v>32</v>
      </c>
      <c r="E72" s="258">
        <v>0.5</v>
      </c>
      <c r="F72" s="258">
        <v>0.5</v>
      </c>
      <c r="G72" s="258"/>
      <c r="H72" s="258"/>
      <c r="I72" s="49">
        <f t="shared" si="3"/>
        <v>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60">
        <v>75</v>
      </c>
      <c r="B73" s="257">
        <v>340</v>
      </c>
      <c r="C73" s="257">
        <v>12</v>
      </c>
      <c r="D73" s="60">
        <v>31</v>
      </c>
      <c r="E73" s="258">
        <v>1</v>
      </c>
      <c r="F73" s="258"/>
      <c r="G73" s="258"/>
      <c r="H73" s="258"/>
      <c r="I73" s="49">
        <f t="shared" si="3"/>
        <v>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60">
        <v>80</v>
      </c>
      <c r="B74" s="60">
        <v>349</v>
      </c>
      <c r="C74" s="257" t="s">
        <v>324</v>
      </c>
      <c r="D74" s="60">
        <v>349</v>
      </c>
      <c r="E74" s="258">
        <v>1</v>
      </c>
      <c r="F74" s="258"/>
      <c r="G74" s="258"/>
      <c r="H74" s="258"/>
      <c r="I74" s="49">
        <f t="shared" si="3"/>
        <v>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60"/>
      <c r="B75" s="60"/>
      <c r="C75" s="257"/>
      <c r="D75" s="60"/>
      <c r="E75" s="258"/>
      <c r="F75" s="258"/>
      <c r="G75" s="258"/>
      <c r="H75" s="258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60"/>
      <c r="B76" s="60"/>
      <c r="C76" s="257"/>
      <c r="D76" s="60"/>
      <c r="E76" s="258"/>
      <c r="F76" s="258"/>
      <c r="G76" s="258"/>
      <c r="H76" s="258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60"/>
      <c r="B77" s="60"/>
      <c r="C77" s="60"/>
      <c r="D77" s="60"/>
      <c r="E77" s="87"/>
      <c r="F77" s="87"/>
      <c r="G77" s="87"/>
      <c r="H77" s="87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ref="I79:I81" si="4">IF(A79&lt;&gt;0,(B79-(B78-D78))/(A79-A78),"")</f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Noyer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1" t="s">
        <v>186</v>
      </c>
      <c r="D86" s="261"/>
      <c r="E86" s="262" t="s">
        <v>187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60</v>
      </c>
      <c r="B88" s="60">
        <v>60</v>
      </c>
      <c r="C88" s="50" t="s">
        <v>324</v>
      </c>
      <c r="D88" s="60">
        <v>130</v>
      </c>
      <c r="E88" s="51">
        <v>0.8</v>
      </c>
      <c r="F88" s="51"/>
      <c r="G88" s="51"/>
      <c r="H88" s="51">
        <v>0.2</v>
      </c>
      <c r="I88" s="53">
        <f>IFERROR(B88/A88,"")</f>
        <v>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50"/>
      <c r="D89" s="60"/>
      <c r="E89" s="51"/>
      <c r="F89" s="51"/>
      <c r="G89" s="51"/>
      <c r="H89" s="51"/>
      <c r="I89" s="53" t="str">
        <f t="shared" ref="I89:I107" si="5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50"/>
      <c r="D90" s="60"/>
      <c r="E90" s="51"/>
      <c r="F90" s="51"/>
      <c r="G90" s="51"/>
      <c r="H90" s="51"/>
      <c r="I90" s="53" t="str">
        <f t="shared" si="5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50"/>
      <c r="D91" s="60"/>
      <c r="E91" s="51"/>
      <c r="F91" s="51"/>
      <c r="G91" s="51"/>
      <c r="H91" s="51"/>
      <c r="I91" s="53" t="str">
        <f t="shared" si="5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50"/>
      <c r="D92" s="60"/>
      <c r="E92" s="51"/>
      <c r="F92" s="51"/>
      <c r="G92" s="51"/>
      <c r="H92" s="51"/>
      <c r="I92" s="53" t="str">
        <f t="shared" si="5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50"/>
      <c r="D93" s="60"/>
      <c r="E93" s="51"/>
      <c r="F93" s="51"/>
      <c r="G93" s="51"/>
      <c r="H93" s="51"/>
      <c r="I93" s="53" t="str">
        <f t="shared" si="5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60"/>
      <c r="B94" s="60"/>
      <c r="C94" s="60"/>
      <c r="D94" s="60"/>
      <c r="E94" s="65"/>
      <c r="F94" s="87"/>
      <c r="G94" s="87"/>
      <c r="H94" s="87"/>
      <c r="I94" s="53" t="str">
        <f t="shared" si="5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5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5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87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1" t="s">
        <v>186</v>
      </c>
      <c r="D112" s="261"/>
      <c r="E112" s="262" t="s">
        <v>187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6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6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6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6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6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6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1" t="s">
        <v>186</v>
      </c>
      <c r="D138" s="261"/>
      <c r="E138" s="262" t="s">
        <v>187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1" t="s">
        <v>186</v>
      </c>
      <c r="D164" s="261"/>
      <c r="E164" s="262" t="s">
        <v>187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1" t="s">
        <v>186</v>
      </c>
      <c r="D190" s="261"/>
      <c r="E190" s="262" t="s">
        <v>187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1" t="s">
        <v>186</v>
      </c>
      <c r="D216" s="261"/>
      <c r="E216" s="262" t="s">
        <v>187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1" t="s">
        <v>186</v>
      </c>
      <c r="D242" s="261"/>
      <c r="E242" s="262" t="s">
        <v>187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1" t="s">
        <v>186</v>
      </c>
      <c r="D268" s="261"/>
      <c r="E268" s="262" t="s">
        <v>187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63" zoomScaleNormal="63" workbookViewId="0">
      <selection activeCell="F9" sqref="F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/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5546875" style="4" customWidth="1"/>
    <col min="6" max="7" width="11.44140625" style="4"/>
    <col min="8" max="8" width="10.777343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77734375" style="4" bestFit="1" customWidth="1"/>
    <col min="25" max="25" width="14.5546875" style="4" bestFit="1" customWidth="1"/>
    <col min="26" max="26" width="12.44140625" style="4" bestFit="1" customWidth="1"/>
    <col min="27" max="27" width="9.777343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21875" style="4" bestFit="1" customWidth="1"/>
    <col min="45" max="45" width="11.77734375" style="4" bestFit="1" customWidth="1"/>
    <col min="46" max="46" width="8.44140625" style="4" bestFit="1" customWidth="1"/>
    <col min="47" max="47" width="9.44140625" style="4" bestFit="1" customWidth="1"/>
    <col min="48" max="48" width="9.777343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2187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21875" style="4" bestFit="1" customWidth="1"/>
    <col min="66" max="66" width="11.77734375" style="4" bestFit="1" customWidth="1"/>
    <col min="67" max="67" width="8.44140625" style="4" bestFit="1" customWidth="1"/>
    <col min="68" max="68" width="9.44140625" style="4" bestFit="1" customWidth="1"/>
    <col min="69" max="69" width="9.777343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777343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21875" style="4" bestFit="1" customWidth="1"/>
    <col min="87" max="87" width="11.77734375" style="4" bestFit="1" customWidth="1"/>
    <col min="88" max="88" width="8.44140625" style="4" bestFit="1" customWidth="1"/>
    <col min="89" max="89" width="9.44140625" style="4" bestFit="1" customWidth="1"/>
    <col min="90" max="90" width="9.777343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21875" style="4" bestFit="1" customWidth="1"/>
    <col min="108" max="108" width="11.77734375" style="4" bestFit="1" customWidth="1"/>
    <col min="109" max="109" width="8.44140625" style="4" bestFit="1" customWidth="1"/>
    <col min="110" max="110" width="9.44140625" style="4" bestFit="1" customWidth="1"/>
    <col min="111" max="111" width="9.777343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2187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21875" style="4" bestFit="1" customWidth="1"/>
    <col min="129" max="129" width="11.77734375" style="4" bestFit="1" customWidth="1"/>
    <col min="130" max="130" width="8.44140625" style="4" bestFit="1" customWidth="1"/>
    <col min="131" max="131" width="9.44140625" style="4" bestFit="1" customWidth="1"/>
    <col min="132" max="132" width="9.777343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21875" style="4" bestFit="1" customWidth="1"/>
    <col min="150" max="150" width="11.77734375" style="4" bestFit="1" customWidth="1"/>
    <col min="151" max="151" width="8.44140625" style="4" bestFit="1" customWidth="1"/>
    <col min="152" max="152" width="9.44140625" style="4" bestFit="1" customWidth="1"/>
    <col min="153" max="153" width="9.777343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21875" style="4" bestFit="1" customWidth="1"/>
    <col min="171" max="171" width="11.77734375" style="4" bestFit="1" customWidth="1"/>
    <col min="172" max="172" width="8.109375" style="4" bestFit="1" customWidth="1"/>
    <col min="173" max="173" width="9.44140625" style="4" bestFit="1" customWidth="1"/>
    <col min="174" max="174" width="9.777343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2187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777343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2187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21875" style="4" bestFit="1" customWidth="1"/>
    <col min="213" max="213" width="11.77734375" style="4" bestFit="1" customWidth="1"/>
    <col min="214" max="214" width="8.44140625" style="4" bestFit="1" customWidth="1"/>
    <col min="215" max="215" width="9.44140625" style="4" bestFit="1" customWidth="1"/>
    <col min="216" max="216" width="9.777343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Chêne sessile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Merisier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Noyer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474.39725570496114</v>
      </c>
      <c r="T3" s="59">
        <f>IF('Données projet'!E9&gt;30,$R$33-$H$33,LOOKUP('Données projet'!$E$9,$A$3:$A$203,R3:R203)-LOOKUP('Données projet'!$E$9,$A$3:$A$203,$H$3:$H$203))</f>
        <v>196.13536593828755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381.55743422692029</v>
      </c>
      <c r="AO3" s="59">
        <f>IF('Données projet'!E10&gt;30,$AM$33-$H$33,LOOKUP('Données projet'!$E$10,$A$3:$A$203,AM3:AM203)-LOOKUP('Données projet'!$E$10,$A$3:$A$203,$H$3:$H$203))</f>
        <v>360.34132229290537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99.41315989132292</v>
      </c>
      <c r="BJ3" s="59">
        <f>IF('Données projet'!E11&gt;30,$BH$33-$H$33,LOOKUP('Données projet'!$E$11,$A$3:$A$203,BH3:BH203)-LOOKUP('Données projet'!$E$11,$A$3:$A$203,$H$3:$H$203))</f>
        <v>111.63051055870588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2.3111111111111109</v>
      </c>
      <c r="N4" s="13">
        <f>IF('Données projet'!$A$36&gt;35,N3+M4-V3,IF(A4&lt;'Données projet'!$A$36,$K$205^A4,IF(A4='Données projet'!$A$36,'Données projet'!$B$36,N3+M4-V3)))</f>
        <v>2.3111111111111109</v>
      </c>
      <c r="O4" s="13">
        <f>N4*VLOOKUP('Données projet'!$B$9,Paramètres!$A$1:$I$89,3,0)*VLOOKUP('Données projet'!$B$9,Paramètres!$A$1:$I$89,5,0)</f>
        <v>2.0910933333333332</v>
      </c>
      <c r="P4" s="13">
        <f>EXP(-1.0587+0.8836*LN(O4)+0.284)</f>
        <v>0.88437002993006919</v>
      </c>
      <c r="Q4" s="20">
        <f t="shared" ref="Q4:Q34" si="2">(O4+P4)*0.475*44/12</f>
        <v>5.1822653576837583</v>
      </c>
      <c r="R4" s="59">
        <f t="shared" si="0"/>
        <v>172.99469931060759</v>
      </c>
      <c r="S4" s="59">
        <f ca="1">AVERAGE(OFFSET($R$3,0,0,'Données projet'!$E$9+1,1))-AVERAGE(OFFSET($H$3,0,0,'Données projet'!$E$9+1,1))</f>
        <v>474.39725570496114</v>
      </c>
      <c r="T4" s="59">
        <f>$T$3</f>
        <v>196.13536593828755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5.85</v>
      </c>
      <c r="AI4" s="13">
        <f>IF('Données projet'!$A$62&gt;35,AI3+AH4-AQ3,IF(A4&lt;'Données projet'!$A$62,$AF$205^A4,IF(A4='Données projet'!$A$62,'Données projet'!$B$62,AI3+AH4-AQ3)))</f>
        <v>1.2688471048731957</v>
      </c>
      <c r="AJ4" s="13">
        <f>AI4*VLOOKUP('Données projet'!$B$10,Paramètres!$A$1:$I$89,3,0)*VLOOKUP('Données projet'!$B$10,Paramètres!$A$1:$I$89,5,0)</f>
        <v>0.98970074180109269</v>
      </c>
      <c r="AK4" s="13">
        <f>EXP(-1.0587+0.8836*LN(AJ4)+0.284)</f>
        <v>0.45664563134517483</v>
      </c>
      <c r="AL4" s="20">
        <f t="shared" ref="AL4:AL67" si="4">(AJ4+AK4)*0.475*44/12</f>
        <v>2.5190532665630827</v>
      </c>
      <c r="AM4" s="59">
        <f t="shared" ref="AM4:AM67" si="5">AL4+(AD4+AE4)*44/12</f>
        <v>170.33148721948692</v>
      </c>
      <c r="AN4" s="59">
        <f ca="1">AVERAGE(OFFSET($AM$3,0,0,'Données projet'!$E$10+1,1))-AVERAGE(OFFSET($H$3,0,0,'Données projet'!$E$10+1,1))</f>
        <v>381.55743422692029</v>
      </c>
      <c r="AO4" s="59">
        <f>$AO$3</f>
        <v>360.34132229290537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</v>
      </c>
      <c r="BD4" s="12">
        <f>IF('Données projet'!$A$88&gt;35,BD3+BC4-BL3,IF(A4&lt;'Données projet'!$A$88,$BA$205^A4,IF(A4='Données projet'!$A$88,'Données projet'!$B$88,BD3+BC4-BL3)))</f>
        <v>1</v>
      </c>
      <c r="BE4" s="13">
        <f>BD4*VLOOKUP('Données projet'!$B$11,Paramètres!$A$1:$I$89,3,0)*VLOOKUP('Données projet'!$B$11,Paramètres!$A$1:$I$89,5,0)</f>
        <v>0.81120000000000003</v>
      </c>
      <c r="BF4" s="13">
        <f>EXP(-1.0587+0.8836*LN(BE4)+0.284)</f>
        <v>0.38305180611771755</v>
      </c>
      <c r="BG4" s="20">
        <f t="shared" ref="BG4:BG67" si="7">(BE4+BF4)*0.475*44/12</f>
        <v>2.0799885623216916</v>
      </c>
      <c r="BH4" s="59">
        <f t="shared" ref="BH4:BH67" si="8">BG4+(AY4+AZ4)*44/12</f>
        <v>169.89242251524553</v>
      </c>
      <c r="BI4" s="59">
        <f ca="1">AVERAGE(OFFSET($BH$3,0,0,'Données projet'!$E$11+1,1))-AVERAGE(OFFSET($H$3,0,0,'Données projet'!$E$11+1,1))</f>
        <v>99.41315989132292</v>
      </c>
      <c r="BJ4" s="59">
        <f>$BJ$3</f>
        <v>111.63051055870588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2.3111111111111109</v>
      </c>
      <c r="N5" s="13">
        <f>IF('Données projet'!$A$36&gt;35,N4+M5-V4,IF(A5&lt;'Données projet'!$A$36,$K$205^A5,IF(A5='Données projet'!$A$36,'Données projet'!$B$36,N4+M5-V4)))</f>
        <v>4.6222222222222218</v>
      </c>
      <c r="O5" s="13">
        <f>N5*VLOOKUP('Données projet'!$B$9,Paramètres!$A$1:$I$89,3,0)*VLOOKUP('Données projet'!$B$9,Paramètres!$A$1:$I$89,5,0)</f>
        <v>4.1821866666666665</v>
      </c>
      <c r="P5" s="13">
        <f t="shared" ref="P5:P68" si="33">EXP(-1.0587+0.8836*LN(O5)+0.284)</f>
        <v>1.6316391625380182</v>
      </c>
      <c r="Q5" s="20">
        <f t="shared" si="2"/>
        <v>10.125746652531491</v>
      </c>
      <c r="R5" s="59">
        <f t="shared" si="0"/>
        <v>180.72302794003232</v>
      </c>
      <c r="S5" s="59">
        <f ca="1">AVERAGE(OFFSET($R$3,0,0,'Données projet'!$E$9+1,1))-AVERAGE(OFFSET($H$3,0,0,'Données projet'!$E$9+1,1))</f>
        <v>474.39725570496114</v>
      </c>
      <c r="T5" s="59">
        <f t="shared" ref="T5:T68" si="34">$T$3</f>
        <v>196.13536593828755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5.85</v>
      </c>
      <c r="AI5" s="13">
        <f>IF('Données projet'!$A$62&gt;35,AI4+AH5-AQ4,IF(A5&lt;'Données projet'!$A$62,$AF$205^A5,IF(A5='Données projet'!$A$62,'Données projet'!$B$62,AI4+AH5-AQ4)))</f>
        <v>1.6099729755450907</v>
      </c>
      <c r="AJ5" s="13">
        <f>AI5*VLOOKUP('Données projet'!$B$10,Paramètres!$A$1:$I$89,3,0)*VLOOKUP('Données projet'!$B$10,Paramètres!$A$1:$I$89,5,0)</f>
        <v>1.2557789209251708</v>
      </c>
      <c r="AK5" s="13">
        <f t="shared" ref="AK5:AK68" si="35">EXP(-1.0587+0.8836*LN(AJ5)+0.284)</f>
        <v>0.56357505040869538</v>
      </c>
      <c r="AL5" s="20">
        <f t="shared" si="4"/>
        <v>3.1687081667398167</v>
      </c>
      <c r="AM5" s="59">
        <f t="shared" si="5"/>
        <v>173.76598945424064</v>
      </c>
      <c r="AN5" s="59">
        <f ca="1">AVERAGE(OFFSET($AM$3,0,0,'Données projet'!$E$10+1,1))-AVERAGE(OFFSET($H$3,0,0,'Données projet'!$E$10+1,1))</f>
        <v>381.55743422692029</v>
      </c>
      <c r="AO5" s="59">
        <f t="shared" ref="AO5:AO68" si="36">$AO$3</f>
        <v>360.34132229290537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</v>
      </c>
      <c r="BD5" s="12">
        <f>IF('Données projet'!$A$88&gt;35,BD4+BC5-BL4,IF(A5&lt;'Données projet'!$A$88,$BA$205^A5,IF(A5='Données projet'!$A$88,'Données projet'!$B$88,BD4+BC5-BL4)))</f>
        <v>2</v>
      </c>
      <c r="BE5" s="13">
        <f>BD5*VLOOKUP('Données projet'!$B$11,Paramètres!$A$1:$I$89,3,0)*VLOOKUP('Données projet'!$B$11,Paramètres!$A$1:$I$89,5,0)</f>
        <v>1.6224000000000001</v>
      </c>
      <c r="BF5" s="13">
        <f t="shared" ref="BF5:BF68" si="37">EXP(-1.0587+0.8836*LN(BE5)+0.284)</f>
        <v>0.70672038512206192</v>
      </c>
      <c r="BG5" s="20">
        <f t="shared" si="7"/>
        <v>4.0565513374209239</v>
      </c>
      <c r="BH5" s="59">
        <f t="shared" si="8"/>
        <v>174.65383262492176</v>
      </c>
      <c r="BI5" s="59">
        <f ca="1">AVERAGE(OFFSET($BH$3,0,0,'Données projet'!$E$11+1,1))-AVERAGE(OFFSET($H$3,0,0,'Données projet'!$E$11+1,1))</f>
        <v>99.41315989132292</v>
      </c>
      <c r="BJ5" s="59">
        <f t="shared" ref="BJ5:BJ68" si="38">$BJ$3</f>
        <v>111.63051055870588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2.3111111111111109</v>
      </c>
      <c r="N6" s="13">
        <f>IF('Données projet'!$A$36&gt;35,N5+M6-V5,IF(A6&lt;'Données projet'!$A$36,$K$205^A6,IF(A6='Données projet'!$A$36,'Données projet'!$B$36,N5+M6-V5)))</f>
        <v>6.9333333333333327</v>
      </c>
      <c r="O6" s="13">
        <f>N6*VLOOKUP('Données projet'!$B$9,Paramètres!$A$1:$I$89,3,0)*VLOOKUP('Données projet'!$B$9,Paramètres!$A$1:$I$89,5,0)</f>
        <v>6.2732799999999997</v>
      </c>
      <c r="P6" s="13">
        <f t="shared" si="33"/>
        <v>2.3346315873454548</v>
      </c>
      <c r="Q6" s="20">
        <f t="shared" si="2"/>
        <v>14.992112681293335</v>
      </c>
      <c r="R6" s="59">
        <f t="shared" si="0"/>
        <v>188.34713325117821</v>
      </c>
      <c r="S6" s="59">
        <f ca="1">AVERAGE(OFFSET($R$3,0,0,'Données projet'!$E$9+1,1))-AVERAGE(OFFSET($H$3,0,0,'Données projet'!$E$9+1,1))</f>
        <v>474.39725570496114</v>
      </c>
      <c r="T6" s="59">
        <f t="shared" si="34"/>
        <v>196.13536593828755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5.85</v>
      </c>
      <c r="AI6" s="13">
        <f>IF('Données projet'!$A$62&gt;35,AI5+AH6-AQ5,IF(A6&lt;'Données projet'!$A$62,$AF$205^A6,IF(A6='Données projet'!$A$62,'Données projet'!$B$62,AI5+AH6-AQ5)))</f>
        <v>2.0428095489444726</v>
      </c>
      <c r="AJ6" s="13">
        <f>AI6*VLOOKUP('Données projet'!$B$10,Paramètres!$A$1:$I$89,3,0)*VLOOKUP('Données projet'!$B$10,Paramètres!$A$1:$I$89,5,0)</f>
        <v>1.5933914481766887</v>
      </c>
      <c r="AK6" s="13">
        <f t="shared" si="35"/>
        <v>0.69554336150668106</v>
      </c>
      <c r="AL6" s="20">
        <f t="shared" si="4"/>
        <v>3.9865614601985349</v>
      </c>
      <c r="AM6" s="59">
        <f t="shared" si="5"/>
        <v>177.34158203008343</v>
      </c>
      <c r="AN6" s="59">
        <f ca="1">AVERAGE(OFFSET($AM$3,0,0,'Données projet'!$E$10+1,1))-AVERAGE(OFFSET($H$3,0,0,'Données projet'!$E$10+1,1))</f>
        <v>381.55743422692029</v>
      </c>
      <c r="AO6" s="59">
        <f t="shared" si="36"/>
        <v>360.34132229290537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</v>
      </c>
      <c r="BD6" s="12">
        <f>IF('Données projet'!$A$88&gt;35,BD5+BC6-BL5,IF(A6&lt;'Données projet'!$A$88,$BA$205^A6,IF(A6='Données projet'!$A$88,'Données projet'!$B$88,BD5+BC6-BL5)))</f>
        <v>3</v>
      </c>
      <c r="BE6" s="13">
        <f>BD6*VLOOKUP('Données projet'!$B$11,Paramètres!$A$1:$I$89,3,0)*VLOOKUP('Données projet'!$B$11,Paramètres!$A$1:$I$89,5,0)</f>
        <v>2.4336000000000002</v>
      </c>
      <c r="BF6" s="13">
        <f t="shared" si="37"/>
        <v>1.0112111626203175</v>
      </c>
      <c r="BG6" s="20">
        <f t="shared" si="7"/>
        <v>5.9997127748970529</v>
      </c>
      <c r="BH6" s="59">
        <f t="shared" si="8"/>
        <v>179.35473334478195</v>
      </c>
      <c r="BI6" s="59">
        <f ca="1">AVERAGE(OFFSET($BH$3,0,0,'Données projet'!$E$11+1,1))-AVERAGE(OFFSET($H$3,0,0,'Données projet'!$E$11+1,1))</f>
        <v>99.41315989132292</v>
      </c>
      <c r="BJ6" s="59">
        <f t="shared" si="38"/>
        <v>111.63051055870588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2.3111111111111109</v>
      </c>
      <c r="N7" s="13">
        <f>IF('Données projet'!$A$36&gt;35,N6+M7-V6,IF(A7&lt;'Données projet'!$A$36,$K$205^A7,IF(A7='Données projet'!$A$36,'Données projet'!$B$36,N6+M7-V6)))</f>
        <v>9.2444444444444436</v>
      </c>
      <c r="O7" s="13">
        <f>N7*VLOOKUP('Données projet'!$B$9,Paramètres!$A$1:$I$89,3,0)*VLOOKUP('Données projet'!$B$9,Paramètres!$A$1:$I$89,5,0)</f>
        <v>8.364373333333333</v>
      </c>
      <c r="P7" s="13">
        <f t="shared" si="33"/>
        <v>3.0103308192593099</v>
      </c>
      <c r="Q7" s="20">
        <f t="shared" si="2"/>
        <v>19.810943065765517</v>
      </c>
      <c r="R7" s="59">
        <f t="shared" si="0"/>
        <v>195.89706512994246</v>
      </c>
      <c r="S7" s="59">
        <f ca="1">AVERAGE(OFFSET($R$3,0,0,'Données projet'!$E$9+1,1))-AVERAGE(OFFSET($H$3,0,0,'Données projet'!$E$9+1,1))</f>
        <v>474.39725570496114</v>
      </c>
      <c r="T7" s="59">
        <f t="shared" si="34"/>
        <v>196.13536593828755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5.85</v>
      </c>
      <c r="AI7" s="13">
        <f>IF('Données projet'!$A$62&gt;35,AI6+AH7-AQ6,IF(A7&lt;'Données projet'!$A$62,$AF$205^A7,IF(A7='Données projet'!$A$62,'Données projet'!$B$62,AI6+AH7-AQ6)))</f>
        <v>2.5920129819855133</v>
      </c>
      <c r="AJ7" s="13">
        <f>AI7*VLOOKUP('Données projet'!$B$10,Paramètres!$A$1:$I$89,3,0)*VLOOKUP('Données projet'!$B$10,Paramètres!$A$1:$I$89,5,0)</f>
        <v>2.0217701259487004</v>
      </c>
      <c r="AK7" s="13">
        <f t="shared" si="35"/>
        <v>0.85841374167501538</v>
      </c>
      <c r="AL7" s="20">
        <f t="shared" si="4"/>
        <v>5.0163202361113051</v>
      </c>
      <c r="AM7" s="59">
        <f t="shared" si="5"/>
        <v>181.10244230028826</v>
      </c>
      <c r="AN7" s="59">
        <f ca="1">AVERAGE(OFFSET($AM$3,0,0,'Données projet'!$E$10+1,1))-AVERAGE(OFFSET($H$3,0,0,'Données projet'!$E$10+1,1))</f>
        <v>381.55743422692029</v>
      </c>
      <c r="AO7" s="59">
        <f t="shared" si="36"/>
        <v>360.34132229290537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</v>
      </c>
      <c r="BD7" s="12">
        <f>IF('Données projet'!$A$88&gt;35,BD6+BC7-BL6,IF(A7&lt;'Données projet'!$A$88,$BA$205^A7,IF(A7='Données projet'!$A$88,'Données projet'!$B$88,BD6+BC7-BL6)))</f>
        <v>4</v>
      </c>
      <c r="BE7" s="13">
        <f>BD7*VLOOKUP('Données projet'!$B$11,Paramètres!$A$1:$I$89,3,0)*VLOOKUP('Données projet'!$B$11,Paramètres!$A$1:$I$89,5,0)</f>
        <v>3.2448000000000001</v>
      </c>
      <c r="BF7" s="13">
        <f t="shared" si="37"/>
        <v>1.303880297052002</v>
      </c>
      <c r="BG7" s="20">
        <f t="shared" si="7"/>
        <v>7.9222848506989019</v>
      </c>
      <c r="BH7" s="59">
        <f t="shared" si="8"/>
        <v>184.00840691487585</v>
      </c>
      <c r="BI7" s="59">
        <f ca="1">AVERAGE(OFFSET($BH$3,0,0,'Données projet'!$E$11+1,1))-AVERAGE(OFFSET($H$3,0,0,'Données projet'!$E$11+1,1))</f>
        <v>99.41315989132292</v>
      </c>
      <c r="BJ7" s="59">
        <f t="shared" si="38"/>
        <v>111.63051055870588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2.3111111111111109</v>
      </c>
      <c r="N8" s="13">
        <f>IF('Données projet'!$A$36&gt;35,N7+M8-V7,IF(A8&lt;'Données projet'!$A$36,$K$205^A8,IF(A8='Données projet'!$A$36,'Données projet'!$B$36,N7+M8-V7)))</f>
        <v>11.555555555555554</v>
      </c>
      <c r="O8" s="13">
        <f>N8*VLOOKUP('Données projet'!$B$9,Paramètres!$A$1:$I$89,3,0)*VLOOKUP('Données projet'!$B$9,Paramètres!$A$1:$I$89,5,0)</f>
        <v>10.455466666666664</v>
      </c>
      <c r="P8" s="13">
        <f t="shared" si="33"/>
        <v>3.6664343439918343</v>
      </c>
      <c r="Q8" s="20">
        <f t="shared" si="2"/>
        <v>24.59564426023022</v>
      </c>
      <c r="R8" s="59">
        <f t="shared" si="0"/>
        <v>203.38669213667757</v>
      </c>
      <c r="S8" s="59">
        <f ca="1">AVERAGE(OFFSET($R$3,0,0,'Données projet'!$E$9+1,1))-AVERAGE(OFFSET($H$3,0,0,'Données projet'!$E$9+1,1))</f>
        <v>474.39725570496114</v>
      </c>
      <c r="T8" s="59">
        <f t="shared" si="34"/>
        <v>196.13536593828755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5.85</v>
      </c>
      <c r="AI8" s="13">
        <f>IF('Données projet'!$A$62&gt;35,AI7+AH8-AQ7,IF(A8&lt;'Données projet'!$A$62,$AF$205^A8,IF(A8='Données projet'!$A$62,'Données projet'!$B$62,AI7+AH8-AQ7)))</f>
        <v>3.2888681679860574</v>
      </c>
      <c r="AJ8" s="13">
        <f>AI8*VLOOKUP('Données projet'!$B$10,Paramètres!$A$1:$I$89,3,0)*VLOOKUP('Données projet'!$B$10,Paramètres!$A$1:$I$89,5,0)</f>
        <v>2.5653171710291249</v>
      </c>
      <c r="AK8" s="13">
        <f t="shared" si="35"/>
        <v>1.0594223058937526</v>
      </c>
      <c r="AL8" s="20">
        <f t="shared" si="4"/>
        <v>6.3130879223073455</v>
      </c>
      <c r="AM8" s="59">
        <f t="shared" si="5"/>
        <v>185.1041357987547</v>
      </c>
      <c r="AN8" s="59">
        <f ca="1">AVERAGE(OFFSET($AM$3,0,0,'Données projet'!$E$10+1,1))-AVERAGE(OFFSET($H$3,0,0,'Données projet'!$E$10+1,1))</f>
        <v>381.55743422692029</v>
      </c>
      <c r="AO8" s="59">
        <f t="shared" si="36"/>
        <v>360.34132229290537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</v>
      </c>
      <c r="BD8" s="12">
        <f>IF('Données projet'!$A$88&gt;35,BD7+BC8-BL7,IF(A8&lt;'Données projet'!$A$88,$BA$205^A8,IF(A8='Données projet'!$A$88,'Données projet'!$B$88,BD7+BC8-BL7)))</f>
        <v>5</v>
      </c>
      <c r="BE8" s="13">
        <f>BD8*VLOOKUP('Données projet'!$B$11,Paramètres!$A$1:$I$89,3,0)*VLOOKUP('Données projet'!$B$11,Paramètres!$A$1:$I$89,5,0)</f>
        <v>4.056</v>
      </c>
      <c r="BF8" s="13">
        <f t="shared" si="37"/>
        <v>1.588061840572724</v>
      </c>
      <c r="BG8" s="20">
        <f t="shared" si="7"/>
        <v>9.8300743723308273</v>
      </c>
      <c r="BH8" s="59">
        <f t="shared" si="8"/>
        <v>188.62112224877819</v>
      </c>
      <c r="BI8" s="59">
        <f ca="1">AVERAGE(OFFSET($BH$3,0,0,'Données projet'!$E$11+1,1))-AVERAGE(OFFSET($H$3,0,0,'Données projet'!$E$11+1,1))</f>
        <v>99.41315989132292</v>
      </c>
      <c r="BJ8" s="59">
        <f t="shared" si="38"/>
        <v>111.63051055870588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2.3111111111111109</v>
      </c>
      <c r="N9" s="13">
        <f>IF('Données projet'!$A$36&gt;35,N8+M9-V8,IF(A9&lt;'Données projet'!$A$36,$K$205^A9,IF(A9='Données projet'!$A$36,'Données projet'!$B$36,N8+M9-V8)))</f>
        <v>13.866666666666664</v>
      </c>
      <c r="O9" s="13">
        <f>N9*VLOOKUP('Données projet'!$B$9,Paramètres!$A$1:$I$89,3,0)*VLOOKUP('Données projet'!$B$9,Paramètres!$A$1:$I$89,5,0)</f>
        <v>12.546559999999996</v>
      </c>
      <c r="P9" s="13">
        <f t="shared" si="33"/>
        <v>4.3073331287723056</v>
      </c>
      <c r="Q9" s="20">
        <f t="shared" si="2"/>
        <v>29.35386386594509</v>
      </c>
      <c r="R9" s="59">
        <f t="shared" si="0"/>
        <v>210.82411596220408</v>
      </c>
      <c r="S9" s="59">
        <f ca="1">AVERAGE(OFFSET($R$3,0,0,'Données projet'!$E$9+1,1))-AVERAGE(OFFSET($H$3,0,0,'Données projet'!$E$9+1,1))</f>
        <v>474.39725570496114</v>
      </c>
      <c r="T9" s="59">
        <f t="shared" si="34"/>
        <v>196.13536593828755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5.85</v>
      </c>
      <c r="AI9" s="13">
        <f>IF('Données projet'!$A$62&gt;35,AI8+AH9-AQ8,IF(A9&lt;'Données projet'!$A$62,$AF$205^A9,IF(A9='Données projet'!$A$62,'Données projet'!$B$62,AI8+AH9-AQ8)))</f>
        <v>4.1730708532587206</v>
      </c>
      <c r="AJ9" s="13">
        <f>AI9*VLOOKUP('Données projet'!$B$10,Paramètres!$A$1:$I$89,3,0)*VLOOKUP('Données projet'!$B$10,Paramètres!$A$1:$I$89,5,0)</f>
        <v>3.2549952655418024</v>
      </c>
      <c r="AK9" s="13">
        <f t="shared" si="35"/>
        <v>1.3074995980786071</v>
      </c>
      <c r="AL9" s="20">
        <f t="shared" si="4"/>
        <v>7.9463452208055463</v>
      </c>
      <c r="AM9" s="59">
        <f t="shared" si="5"/>
        <v>189.41659731706451</v>
      </c>
      <c r="AN9" s="59">
        <f ca="1">AVERAGE(OFFSET($AM$3,0,0,'Données projet'!$E$10+1,1))-AVERAGE(OFFSET($H$3,0,0,'Données projet'!$E$10+1,1))</f>
        <v>381.55743422692029</v>
      </c>
      <c r="AO9" s="59">
        <f t="shared" si="36"/>
        <v>360.34132229290537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</v>
      </c>
      <c r="BD9" s="12">
        <f>IF('Données projet'!$A$88&gt;35,BD8+BC9-BL8,IF(A9&lt;'Données projet'!$A$88,$BA$205^A9,IF(A9='Données projet'!$A$88,'Données projet'!$B$88,BD8+BC9-BL8)))</f>
        <v>6</v>
      </c>
      <c r="BE9" s="13">
        <f>BD9*VLOOKUP('Données projet'!$B$11,Paramètres!$A$1:$I$89,3,0)*VLOOKUP('Données projet'!$B$11,Paramètres!$A$1:$I$89,5,0)</f>
        <v>4.8672000000000004</v>
      </c>
      <c r="BF9" s="13">
        <f t="shared" si="37"/>
        <v>1.8656576757326089</v>
      </c>
      <c r="BG9" s="20">
        <f t="shared" si="7"/>
        <v>11.726393785234293</v>
      </c>
      <c r="BH9" s="59">
        <f t="shared" si="8"/>
        <v>193.19664588149328</v>
      </c>
      <c r="BI9" s="59">
        <f ca="1">AVERAGE(OFFSET($BH$3,0,0,'Données projet'!$E$11+1,1))-AVERAGE(OFFSET($H$3,0,0,'Données projet'!$E$11+1,1))</f>
        <v>99.41315989132292</v>
      </c>
      <c r="BJ9" s="59">
        <f t="shared" si="38"/>
        <v>111.63051055870588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2.3111111111111109</v>
      </c>
      <c r="N10" s="13">
        <f>IF('Données projet'!$A$36&gt;35,N9+M10-V9,IF(A10&lt;'Données projet'!$A$36,$K$205^A10,IF(A10='Données projet'!$A$36,'Données projet'!$B$36,N9+M10-V9)))</f>
        <v>16.177777777777774</v>
      </c>
      <c r="O10" s="13">
        <f>N10*VLOOKUP('Données projet'!$B$9,Paramètres!$A$1:$I$89,3,0)*VLOOKUP('Données projet'!$B$9,Paramètres!$A$1:$I$89,5,0)</f>
        <v>14.637653333333327</v>
      </c>
      <c r="P10" s="13">
        <f t="shared" si="33"/>
        <v>4.9358578603942096</v>
      </c>
      <c r="Q10" s="20">
        <f t="shared" si="2"/>
        <v>34.090531995742133</v>
      </c>
      <c r="R10" s="59">
        <f t="shared" si="0"/>
        <v>218.21471293147837</v>
      </c>
      <c r="S10" s="59">
        <f ca="1">AVERAGE(OFFSET($R$3,0,0,'Données projet'!$E$9+1,1))-AVERAGE(OFFSET($H$3,0,0,'Données projet'!$E$9+1,1))</f>
        <v>474.39725570496114</v>
      </c>
      <c r="T10" s="59">
        <f t="shared" si="34"/>
        <v>196.13536593828755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5.85</v>
      </c>
      <c r="AI10" s="13">
        <f>IF('Données projet'!$A$62&gt;35,AI9+AH10-AQ9,IF(A10&lt;'Données projet'!$A$62,$AF$205^A10,IF(A10='Données projet'!$A$62,'Données projet'!$B$62,AI9+AH10-AQ9)))</f>
        <v>5.2949888705880443</v>
      </c>
      <c r="AJ10" s="13">
        <f>AI10*VLOOKUP('Données projet'!$B$10,Paramètres!$A$1:$I$89,3,0)*VLOOKUP('Données projet'!$B$10,Paramètres!$A$1:$I$89,5,0)</f>
        <v>4.1300913190586748</v>
      </c>
      <c r="AK10" s="13">
        <f t="shared" si="35"/>
        <v>1.6136673633027767</v>
      </c>
      <c r="AL10" s="20">
        <f t="shared" si="4"/>
        <v>10.003713038446195</v>
      </c>
      <c r="AM10" s="59">
        <f t="shared" si="5"/>
        <v>194.12789397418243</v>
      </c>
      <c r="AN10" s="59">
        <f ca="1">AVERAGE(OFFSET($AM$3,0,0,'Données projet'!$E$10+1,1))-AVERAGE(OFFSET($H$3,0,0,'Données projet'!$E$10+1,1))</f>
        <v>381.55743422692029</v>
      </c>
      <c r="AO10" s="59">
        <f t="shared" si="36"/>
        <v>360.34132229290537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</v>
      </c>
      <c r="BD10" s="12">
        <f>IF('Données projet'!$A$88&gt;35,BD9+BC10-BL9,IF(A10&lt;'Données projet'!$A$88,$BA$205^A10,IF(A10='Données projet'!$A$88,'Données projet'!$B$88,BD9+BC10-BL9)))</f>
        <v>7</v>
      </c>
      <c r="BE10" s="13">
        <f>BD10*VLOOKUP('Données projet'!$B$11,Paramètres!$A$1:$I$89,3,0)*VLOOKUP('Données projet'!$B$11,Paramètres!$A$1:$I$89,5,0)</f>
        <v>5.6784000000000008</v>
      </c>
      <c r="BF10" s="13">
        <f t="shared" si="37"/>
        <v>2.1378938726743604</v>
      </c>
      <c r="BG10" s="20">
        <f t="shared" si="7"/>
        <v>13.613378494907844</v>
      </c>
      <c r="BH10" s="59">
        <f t="shared" si="8"/>
        <v>197.73755943064407</v>
      </c>
      <c r="BI10" s="59">
        <f ca="1">AVERAGE(OFFSET($BH$3,0,0,'Données projet'!$E$11+1,1))-AVERAGE(OFFSET($H$3,0,0,'Données projet'!$E$11+1,1))</f>
        <v>99.41315989132292</v>
      </c>
      <c r="BJ10" s="59">
        <f t="shared" si="38"/>
        <v>111.63051055870588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2.3111111111111109</v>
      </c>
      <c r="N11" s="13">
        <f>IF('Données projet'!$A$36&gt;35,N10+M11-V10,IF(A11&lt;'Données projet'!$A$36,$K$205^A11,IF(A11='Données projet'!$A$36,'Données projet'!$B$36,N10+M11-V10)))</f>
        <v>18.488888888888884</v>
      </c>
      <c r="O11" s="13">
        <f>N11*VLOOKUP('Données projet'!$B$9,Paramètres!$A$1:$I$89,3,0)*VLOOKUP('Données projet'!$B$9,Paramètres!$A$1:$I$89,5,0)</f>
        <v>16.728746666666659</v>
      </c>
      <c r="P11" s="13">
        <f t="shared" si="33"/>
        <v>5.5539802239646665</v>
      </c>
      <c r="Q11" s="20">
        <f t="shared" si="2"/>
        <v>38.809082667849559</v>
      </c>
      <c r="R11" s="59">
        <f t="shared" si="0"/>
        <v>225.56235553407012</v>
      </c>
      <c r="S11" s="59">
        <f ca="1">AVERAGE(OFFSET($R$3,0,0,'Données projet'!$E$9+1,1))-AVERAGE(OFFSET($H$3,0,0,'Données projet'!$E$9+1,1))</f>
        <v>474.39725570496114</v>
      </c>
      <c r="T11" s="59">
        <f t="shared" si="34"/>
        <v>196.13536593828755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5.85</v>
      </c>
      <c r="AI11" s="13">
        <f>IF('Données projet'!$A$62&gt;35,AI10+AH11-AQ10,IF(A11&lt;'Données projet'!$A$62,$AF$205^A11,IF(A11='Données projet'!$A$62,'Données projet'!$B$62,AI10+AH11-AQ10)))</f>
        <v>6.718531298781433</v>
      </c>
      <c r="AJ11" s="13">
        <f>AI11*VLOOKUP('Données projet'!$B$10,Paramètres!$A$1:$I$89,3,0)*VLOOKUP('Données projet'!$B$10,Paramètres!$A$1:$I$89,5,0)</f>
        <v>5.2404544130495179</v>
      </c>
      <c r="AK11" s="13">
        <f t="shared" si="35"/>
        <v>1.9915282293126844</v>
      </c>
      <c r="AL11" s="20">
        <f t="shared" si="4"/>
        <v>12.59570310211417</v>
      </c>
      <c r="AM11" s="59">
        <f t="shared" si="5"/>
        <v>199.34897596833471</v>
      </c>
      <c r="AN11" s="59">
        <f ca="1">AVERAGE(OFFSET($AM$3,0,0,'Données projet'!$E$10+1,1))-AVERAGE(OFFSET($H$3,0,0,'Données projet'!$E$10+1,1))</f>
        <v>381.55743422692029</v>
      </c>
      <c r="AO11" s="59">
        <f t="shared" si="36"/>
        <v>360.34132229290537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</v>
      </c>
      <c r="BD11" s="12">
        <f>IF('Données projet'!$A$88&gt;35,BD10+BC11-BL10,IF(A11&lt;'Données projet'!$A$88,$BA$205^A11,IF(A11='Données projet'!$A$88,'Données projet'!$B$88,BD10+BC11-BL10)))</f>
        <v>8</v>
      </c>
      <c r="BE11" s="13">
        <f>BD11*VLOOKUP('Données projet'!$B$11,Paramètres!$A$1:$I$89,3,0)*VLOOKUP('Données projet'!$B$11,Paramètres!$A$1:$I$89,5,0)</f>
        <v>6.4896000000000003</v>
      </c>
      <c r="BF11" s="13">
        <f t="shared" si="37"/>
        <v>2.4056244376575928</v>
      </c>
      <c r="BG11" s="20">
        <f t="shared" si="7"/>
        <v>15.492515895586974</v>
      </c>
      <c r="BH11" s="59">
        <f t="shared" si="8"/>
        <v>202.24578876180752</v>
      </c>
      <c r="BI11" s="59">
        <f ca="1">AVERAGE(OFFSET($BH$3,0,0,'Données projet'!$E$11+1,1))-AVERAGE(OFFSET($H$3,0,0,'Données projet'!$E$11+1,1))</f>
        <v>99.41315989132292</v>
      </c>
      <c r="BJ11" s="59">
        <f t="shared" si="38"/>
        <v>111.63051055870588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2.3111111111111109</v>
      </c>
      <c r="N12" s="13">
        <f>IF('Données projet'!$A$36&gt;35,N11+M12-V11,IF(A12&lt;'Données projet'!$A$36,$K$205^A12,IF(A12='Données projet'!$A$36,'Données projet'!$B$36,N11+M12-V11)))</f>
        <v>20.799999999999994</v>
      </c>
      <c r="O12" s="13">
        <f>N12*VLOOKUP('Données projet'!$B$9,Paramètres!$A$1:$I$89,3,0)*VLOOKUP('Données projet'!$B$9,Paramètres!$A$1:$I$89,5,0)</f>
        <v>18.819839999999992</v>
      </c>
      <c r="P12" s="13">
        <f t="shared" si="33"/>
        <v>6.1631494331192478</v>
      </c>
      <c r="Q12" s="20">
        <f t="shared" si="2"/>
        <v>43.512039929349349</v>
      </c>
      <c r="R12" s="59">
        <f t="shared" si="0"/>
        <v>232.86999868190543</v>
      </c>
      <c r="S12" s="59">
        <f ca="1">AVERAGE(OFFSET($R$3,0,0,'Données projet'!$E$9+1,1))-AVERAGE(OFFSET($H$3,0,0,'Données projet'!$E$9+1,1))</f>
        <v>474.39725570496114</v>
      </c>
      <c r="T12" s="59">
        <f t="shared" si="34"/>
        <v>196.13536593828755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5.85</v>
      </c>
      <c r="AI12" s="13">
        <f>IF('Données projet'!$A$62&gt;35,AI11+AH12-AQ11,IF(A12&lt;'Données projet'!$A$62,$AF$205^A12,IF(A12='Données projet'!$A$62,'Données projet'!$B$62,AI11+AH12-AQ11)))</f>
        <v>8.5247889874587734</v>
      </c>
      <c r="AJ12" s="13">
        <f>AI12*VLOOKUP('Données projet'!$B$10,Paramètres!$A$1:$I$89,3,0)*VLOOKUP('Données projet'!$B$10,Paramètres!$A$1:$I$89,5,0)</f>
        <v>6.6493354102178435</v>
      </c>
      <c r="AK12" s="13">
        <f t="shared" si="35"/>
        <v>2.4578700532379361</v>
      </c>
      <c r="AL12" s="20">
        <f t="shared" si="4"/>
        <v>15.86171618218548</v>
      </c>
      <c r="AM12" s="59">
        <f t="shared" si="5"/>
        <v>205.21967493474156</v>
      </c>
      <c r="AN12" s="59">
        <f ca="1">AVERAGE(OFFSET($AM$3,0,0,'Données projet'!$E$10+1,1))-AVERAGE(OFFSET($H$3,0,0,'Données projet'!$E$10+1,1))</f>
        <v>381.55743422692029</v>
      </c>
      <c r="AO12" s="59">
        <f t="shared" si="36"/>
        <v>360.34132229290537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</v>
      </c>
      <c r="BD12" s="12">
        <f>IF('Données projet'!$A$88&gt;35,BD11+BC12-BL11,IF(A12&lt;'Données projet'!$A$88,$BA$205^A12,IF(A12='Données projet'!$A$88,'Données projet'!$B$88,BD11+BC12-BL11)))</f>
        <v>9</v>
      </c>
      <c r="BE12" s="13">
        <f>BD12*VLOOKUP('Données projet'!$B$11,Paramètres!$A$1:$I$89,3,0)*VLOOKUP('Données projet'!$B$11,Paramètres!$A$1:$I$89,5,0)</f>
        <v>7.3007999999999997</v>
      </c>
      <c r="BF12" s="13">
        <f t="shared" si="37"/>
        <v>2.6694770761469542</v>
      </c>
      <c r="BG12" s="20">
        <f t="shared" si="7"/>
        <v>17.364899240955943</v>
      </c>
      <c r="BH12" s="59">
        <f t="shared" si="8"/>
        <v>206.72285799351201</v>
      </c>
      <c r="BI12" s="59">
        <f ca="1">AVERAGE(OFFSET($BH$3,0,0,'Données projet'!$E$11+1,1))-AVERAGE(OFFSET($H$3,0,0,'Données projet'!$E$11+1,1))</f>
        <v>99.41315989132292</v>
      </c>
      <c r="BJ12" s="59">
        <f t="shared" si="38"/>
        <v>111.63051055870588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2.3111111111111109</v>
      </c>
      <c r="N13" s="13">
        <f>IF('Données projet'!$A$36&gt;35,N12+M13-V12,IF(A13&lt;'Données projet'!$A$36,$K$205^A13,IF(A13='Données projet'!$A$36,'Données projet'!$B$36,N12+M13-V12)))</f>
        <v>23.111111111111104</v>
      </c>
      <c r="O13" s="13">
        <f>N13*VLOOKUP('Données projet'!$B$9,Paramètres!$A$1:$I$89,3,0)*VLOOKUP('Données projet'!$B$9,Paramètres!$A$1:$I$89,5,0)</f>
        <v>20.910933333333325</v>
      </c>
      <c r="P13" s="13">
        <f t="shared" si="33"/>
        <v>6.7644737610618826</v>
      </c>
      <c r="Q13" s="20">
        <f t="shared" si="2"/>
        <v>48.201334022738315</v>
      </c>
      <c r="R13" s="59">
        <f t="shared" si="0"/>
        <v>240.1399960077832</v>
      </c>
      <c r="S13" s="59">
        <f ca="1">AVERAGE(OFFSET($R$3,0,0,'Données projet'!$E$9+1,1))-AVERAGE(OFFSET($H$3,0,0,'Données projet'!$E$9+1,1))</f>
        <v>474.39725570496114</v>
      </c>
      <c r="T13" s="59">
        <f t="shared" si="34"/>
        <v>196.13536593828755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5.85</v>
      </c>
      <c r="AI13" s="13">
        <f>IF('Données projet'!$A$62&gt;35,AI12+AH13-AQ12,IF(A13&lt;'Données projet'!$A$62,$AF$205^A13,IF(A13='Données projet'!$A$62,'Données projet'!$B$62,AI12+AH13-AQ12)))</f>
        <v>10.816653826391967</v>
      </c>
      <c r="AJ13" s="13">
        <f>AI13*VLOOKUP('Données projet'!$B$10,Paramètres!$A$1:$I$89,3,0)*VLOOKUP('Données projet'!$B$10,Paramètres!$A$1:$I$89,5,0)</f>
        <v>8.4369899845857343</v>
      </c>
      <c r="AK13" s="13">
        <f t="shared" si="35"/>
        <v>3.0334117838182832</v>
      </c>
      <c r="AL13" s="20">
        <f t="shared" si="4"/>
        <v>19.977616413303661</v>
      </c>
      <c r="AM13" s="59">
        <f t="shared" si="5"/>
        <v>211.91627839834854</v>
      </c>
      <c r="AN13" s="59">
        <f ca="1">AVERAGE(OFFSET($AM$3,0,0,'Données projet'!$E$10+1,1))-AVERAGE(OFFSET($H$3,0,0,'Données projet'!$E$10+1,1))</f>
        <v>381.55743422692029</v>
      </c>
      <c r="AO13" s="59">
        <f t="shared" si="36"/>
        <v>360.34132229290537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</v>
      </c>
      <c r="BD13" s="12">
        <f>IF('Données projet'!$A$88&gt;35,BD12+BC13-BL12,IF(A13&lt;'Données projet'!$A$88,$BA$205^A13,IF(A13='Données projet'!$A$88,'Données projet'!$B$88,BD12+BC13-BL12)))</f>
        <v>10</v>
      </c>
      <c r="BE13" s="13">
        <f>BD13*VLOOKUP('Données projet'!$B$11,Paramètres!$A$1:$I$89,3,0)*VLOOKUP('Données projet'!$B$11,Paramètres!$A$1:$I$89,5,0)</f>
        <v>8.1120000000000001</v>
      </c>
      <c r="BF13" s="13">
        <f t="shared" si="37"/>
        <v>2.9299318202987461</v>
      </c>
      <c r="BG13" s="20">
        <f t="shared" si="7"/>
        <v>19.231364587020316</v>
      </c>
      <c r="BH13" s="59">
        <f t="shared" si="8"/>
        <v>211.17002657206521</v>
      </c>
      <c r="BI13" s="59">
        <f ca="1">AVERAGE(OFFSET($BH$3,0,0,'Données projet'!$E$11+1,1))-AVERAGE(OFFSET($H$3,0,0,'Données projet'!$E$11+1,1))</f>
        <v>99.41315989132292</v>
      </c>
      <c r="BJ13" s="59">
        <f t="shared" si="38"/>
        <v>111.63051055870588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2.3111111111111109</v>
      </c>
      <c r="N14" s="13">
        <f>IF('Données projet'!$A$36&gt;35,N13+M14-V13,IF(A14&lt;'Données projet'!$A$36,$K$205^A14,IF(A14='Données projet'!$A$36,'Données projet'!$B$36,N13+M14-V13)))</f>
        <v>25.422222222222214</v>
      </c>
      <c r="O14" s="13">
        <f>N14*VLOOKUP('Données projet'!$B$9,Paramètres!$A$1:$I$89,3,0)*VLOOKUP('Données projet'!$B$9,Paramètres!$A$1:$I$89,5,0)</f>
        <v>23.002026666666655</v>
      </c>
      <c r="P14" s="13">
        <f t="shared" si="33"/>
        <v>7.3588269997940587</v>
      </c>
      <c r="Q14" s="20">
        <f t="shared" si="2"/>
        <v>52.878486802419069</v>
      </c>
      <c r="R14" s="59">
        <f t="shared" si="0"/>
        <v>247.37428541153321</v>
      </c>
      <c r="S14" s="59">
        <f ca="1">AVERAGE(OFFSET($R$3,0,0,'Données projet'!$E$9+1,1))-AVERAGE(OFFSET($H$3,0,0,'Données projet'!$E$9+1,1))</f>
        <v>474.39725570496114</v>
      </c>
      <c r="T14" s="59">
        <f t="shared" si="34"/>
        <v>196.13536593828755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5.85</v>
      </c>
      <c r="AI14" s="13">
        <f>IF('Données projet'!$A$62&gt;35,AI13+AH14-AQ13,IF(A14&lt;'Données projet'!$A$62,$AF$205^A14,IF(A14='Données projet'!$A$62,'Données projet'!$B$62,AI13+AH14-AQ13)))</f>
        <v>13.724679892033022</v>
      </c>
      <c r="AJ14" s="13">
        <f>AI14*VLOOKUP('Données projet'!$B$10,Paramètres!$A$1:$I$89,3,0)*VLOOKUP('Données projet'!$B$10,Paramètres!$A$1:$I$89,5,0)</f>
        <v>10.705250315785758</v>
      </c>
      <c r="AK14" s="13">
        <f t="shared" si="35"/>
        <v>3.7437239768171127</v>
      </c>
      <c r="AL14" s="20">
        <f t="shared" si="4"/>
        <v>25.165296892949996</v>
      </c>
      <c r="AM14" s="59">
        <f t="shared" si="5"/>
        <v>219.66109550206414</v>
      </c>
      <c r="AN14" s="59">
        <f ca="1">AVERAGE(OFFSET($AM$3,0,0,'Données projet'!$E$10+1,1))-AVERAGE(OFFSET($H$3,0,0,'Données projet'!$E$10+1,1))</f>
        <v>381.55743422692029</v>
      </c>
      <c r="AO14" s="59">
        <f t="shared" si="36"/>
        <v>360.34132229290537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</v>
      </c>
      <c r="BD14" s="12">
        <f>IF('Données projet'!$A$88&gt;35,BD13+BC14-BL13,IF(A14&lt;'Données projet'!$A$88,$BA$205^A14,IF(A14='Données projet'!$A$88,'Données projet'!$B$88,BD13+BC14-BL13)))</f>
        <v>11</v>
      </c>
      <c r="BE14" s="13">
        <f>BD14*VLOOKUP('Données projet'!$B$11,Paramètres!$A$1:$I$89,3,0)*VLOOKUP('Données projet'!$B$11,Paramètres!$A$1:$I$89,5,0)</f>
        <v>8.9232000000000014</v>
      </c>
      <c r="BF14" s="13">
        <f t="shared" si="37"/>
        <v>3.187367140202428</v>
      </c>
      <c r="BG14" s="20">
        <f t="shared" si="7"/>
        <v>21.092571102519226</v>
      </c>
      <c r="BH14" s="59">
        <f t="shared" si="8"/>
        <v>215.58836971163336</v>
      </c>
      <c r="BI14" s="59">
        <f ca="1">AVERAGE(OFFSET($BH$3,0,0,'Données projet'!$E$11+1,1))-AVERAGE(OFFSET($H$3,0,0,'Données projet'!$E$11+1,1))</f>
        <v>99.41315989132292</v>
      </c>
      <c r="BJ14" s="59">
        <f t="shared" si="38"/>
        <v>111.63051055870588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2.3111111111111109</v>
      </c>
      <c r="N15" s="13">
        <f>IF('Données projet'!$A$36&gt;35,N14+M15-V14,IF(A15&lt;'Données projet'!$A$36,$K$205^A15,IF(A15='Données projet'!$A$36,'Données projet'!$B$36,N14+M15-V14)))</f>
        <v>27.733333333333324</v>
      </c>
      <c r="O15" s="13">
        <f>N15*VLOOKUP('Données projet'!$B$9,Paramètres!$A$1:$I$89,3,0)*VLOOKUP('Données projet'!$B$9,Paramètres!$A$1:$I$89,5,0)</f>
        <v>25.093119999999992</v>
      </c>
      <c r="P15" s="13">
        <f t="shared" si="33"/>
        <v>7.9469149577106757</v>
      </c>
      <c r="Q15" s="20">
        <f t="shared" si="2"/>
        <v>57.544727551346078</v>
      </c>
      <c r="R15" s="59">
        <f t="shared" si="0"/>
        <v>254.57450500407896</v>
      </c>
      <c r="S15" s="59">
        <f ca="1">AVERAGE(OFFSET($R$3,0,0,'Données projet'!$E$9+1,1))-AVERAGE(OFFSET($H$3,0,0,'Données projet'!$E$9+1,1))</f>
        <v>474.39725570496114</v>
      </c>
      <c r="T15" s="59">
        <f t="shared" si="34"/>
        <v>196.13536593828755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5.85</v>
      </c>
      <c r="AI15" s="13">
        <f>IF('Données projet'!$A$62&gt;35,AI14+AH15-AQ14,IF(A15&lt;'Données projet'!$A$62,$AF$205^A15,IF(A15='Données projet'!$A$62,'Données projet'!$B$62,AI14+AH15-AQ14)))</f>
        <v>17.414520346317467</v>
      </c>
      <c r="AJ15" s="13">
        <f>AI15*VLOOKUP('Données projet'!$B$10,Paramètres!$A$1:$I$89,3,0)*VLOOKUP('Données projet'!$B$10,Paramètres!$A$1:$I$89,5,0)</f>
        <v>13.583325870127625</v>
      </c>
      <c r="AK15" s="13">
        <f t="shared" si="35"/>
        <v>4.6203648609004491</v>
      </c>
      <c r="AL15" s="20">
        <f t="shared" si="4"/>
        <v>31.704761356540562</v>
      </c>
      <c r="AM15" s="59">
        <f t="shared" si="5"/>
        <v>228.73453880927343</v>
      </c>
      <c r="AN15" s="59">
        <f ca="1">AVERAGE(OFFSET($AM$3,0,0,'Données projet'!$E$10+1,1))-AVERAGE(OFFSET($H$3,0,0,'Données projet'!$E$10+1,1))</f>
        <v>381.55743422692029</v>
      </c>
      <c r="AO15" s="59">
        <f t="shared" si="36"/>
        <v>360.34132229290537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</v>
      </c>
      <c r="BD15" s="12">
        <f>IF('Données projet'!$A$88&gt;35,BD14+BC15-BL14,IF(A15&lt;'Données projet'!$A$88,$BA$205^A15,IF(A15='Données projet'!$A$88,'Données projet'!$B$88,BD14+BC15-BL14)))</f>
        <v>12</v>
      </c>
      <c r="BE15" s="13">
        <f>BD15*VLOOKUP('Données projet'!$B$11,Paramètres!$A$1:$I$89,3,0)*VLOOKUP('Données projet'!$B$11,Paramètres!$A$1:$I$89,5,0)</f>
        <v>9.7344000000000008</v>
      </c>
      <c r="BF15" s="13">
        <f t="shared" si="37"/>
        <v>3.442088746331315</v>
      </c>
      <c r="BG15" s="20">
        <f t="shared" si="7"/>
        <v>22.94905123319371</v>
      </c>
      <c r="BH15" s="59">
        <f t="shared" si="8"/>
        <v>219.97882868592657</v>
      </c>
      <c r="BI15" s="59">
        <f ca="1">AVERAGE(OFFSET($BH$3,0,0,'Données projet'!$E$11+1,1))-AVERAGE(OFFSET($H$3,0,0,'Données projet'!$E$11+1,1))</f>
        <v>99.41315989132292</v>
      </c>
      <c r="BJ15" s="59">
        <f t="shared" si="38"/>
        <v>111.63051055870588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2.3111111111111109</v>
      </c>
      <c r="N16" s="13">
        <f>IF('Données projet'!$A$36&gt;35,N15+M16-V15,IF(A16&lt;'Données projet'!$A$36,$K$205^A16,IF(A16='Données projet'!$A$36,'Données projet'!$B$36,N15+M16-V15)))</f>
        <v>30.044444444444434</v>
      </c>
      <c r="O16" s="13">
        <f>N16*VLOOKUP('Données projet'!$B$9,Paramètres!$A$1:$I$89,3,0)*VLOOKUP('Données projet'!$B$9,Paramètres!$A$1:$I$89,5,0)</f>
        <v>27.184213333333325</v>
      </c>
      <c r="P16" s="13">
        <f t="shared" si="33"/>
        <v>8.529319100445365</v>
      </c>
      <c r="Q16" s="20">
        <f t="shared" si="2"/>
        <v>62.201068988831217</v>
      </c>
      <c r="R16" s="59">
        <f t="shared" si="0"/>
        <v>261.74206924045001</v>
      </c>
      <c r="S16" s="59">
        <f ca="1">AVERAGE(OFFSET($R$3,0,0,'Données projet'!$E$9+1,1))-AVERAGE(OFFSET($H$3,0,0,'Données projet'!$E$9+1,1))</f>
        <v>474.39725570496114</v>
      </c>
      <c r="T16" s="59">
        <f t="shared" si="34"/>
        <v>196.13536593828755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5.85</v>
      </c>
      <c r="AI16" s="13">
        <f>IF('Données projet'!$A$62&gt;35,AI15+AH16-AQ15,IF(A16&lt;'Données projet'!$A$62,$AF$205^A16,IF(A16='Données projet'!$A$62,'Données projet'!$B$62,AI15+AH16-AQ15)))</f>
        <v>22.096363724180279</v>
      </c>
      <c r="AJ16" s="13">
        <f>AI16*VLOOKUP('Données projet'!$B$10,Paramètres!$A$1:$I$89,3,0)*VLOOKUP('Données projet'!$B$10,Paramètres!$A$1:$I$89,5,0)</f>
        <v>17.235163704860618</v>
      </c>
      <c r="AK16" s="13">
        <f t="shared" si="35"/>
        <v>5.7022824278817001</v>
      </c>
      <c r="AL16" s="20">
        <f t="shared" si="4"/>
        <v>39.949385347859533</v>
      </c>
      <c r="AM16" s="59">
        <f t="shared" si="5"/>
        <v>239.49038559947834</v>
      </c>
      <c r="AN16" s="59">
        <f ca="1">AVERAGE(OFFSET($AM$3,0,0,'Données projet'!$E$10+1,1))-AVERAGE(OFFSET($H$3,0,0,'Données projet'!$E$10+1,1))</f>
        <v>381.55743422692029</v>
      </c>
      <c r="AO16" s="59">
        <f t="shared" si="36"/>
        <v>360.34132229290537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</v>
      </c>
      <c r="BD16" s="12">
        <f>IF('Données projet'!$A$88&gt;35,BD15+BC16-BL15,IF(A16&lt;'Données projet'!$A$88,$BA$205^A16,IF(A16='Données projet'!$A$88,'Données projet'!$B$88,BD15+BC16-BL15)))</f>
        <v>13</v>
      </c>
      <c r="BE16" s="13">
        <f>BD16*VLOOKUP('Données projet'!$B$11,Paramètres!$A$1:$I$89,3,0)*VLOOKUP('Données projet'!$B$11,Paramètres!$A$1:$I$89,5,0)</f>
        <v>10.5456</v>
      </c>
      <c r="BF16" s="13">
        <f t="shared" si="37"/>
        <v>3.6943484919296665</v>
      </c>
      <c r="BG16" s="20">
        <f t="shared" si="7"/>
        <v>24.801243623444169</v>
      </c>
      <c r="BH16" s="59">
        <f t="shared" si="8"/>
        <v>224.34224387506299</v>
      </c>
      <c r="BI16" s="59">
        <f ca="1">AVERAGE(OFFSET($BH$3,0,0,'Données projet'!$E$11+1,1))-AVERAGE(OFFSET($H$3,0,0,'Données projet'!$E$11+1,1))</f>
        <v>99.41315989132292</v>
      </c>
      <c r="BJ16" s="59">
        <f t="shared" si="38"/>
        <v>111.63051055870588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2.3111111111111109</v>
      </c>
      <c r="N17" s="13">
        <f>IF('Données projet'!$A$36&gt;35,N16+M17-V16,IF(A17&lt;'Données projet'!$A$36,$K$205^A17,IF(A17='Données projet'!$A$36,'Données projet'!$B$36,N16+M17-V16)))</f>
        <v>32.355555555555547</v>
      </c>
      <c r="O17" s="13">
        <f>N17*VLOOKUP('Données projet'!$B$9,Paramètres!$A$1:$I$89,3,0)*VLOOKUP('Données projet'!$B$9,Paramètres!$A$1:$I$89,5,0)</f>
        <v>29.275306666666655</v>
      </c>
      <c r="P17" s="13">
        <f t="shared" si="33"/>
        <v>9.1065263556897413</v>
      </c>
      <c r="Q17" s="20">
        <f t="shared" si="2"/>
        <v>66.848359180604049</v>
      </c>
      <c r="R17" s="59">
        <f t="shared" si="0"/>
        <v>268.87822095287726</v>
      </c>
      <c r="S17" s="59">
        <f ca="1">AVERAGE(OFFSET($R$3,0,0,'Données projet'!$E$9+1,1))-AVERAGE(OFFSET($H$3,0,0,'Données projet'!$E$9+1,1))</f>
        <v>474.39725570496114</v>
      </c>
      <c r="T17" s="59">
        <f t="shared" si="34"/>
        <v>196.13536593828755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5.85</v>
      </c>
      <c r="AI17" s="13">
        <f>IF('Données projet'!$A$62&gt;35,AI16+AH17-AQ16,IF(A17&lt;'Données projet'!$A$62,$AF$205^A17,IF(A17='Données projet'!$A$62,'Données projet'!$B$62,AI16+AH17-AQ16)))</f>
        <v>28.036907139651255</v>
      </c>
      <c r="AJ17" s="13">
        <f>AI17*VLOOKUP('Données projet'!$B$10,Paramètres!$A$1:$I$89,3,0)*VLOOKUP('Données projet'!$B$10,Paramètres!$A$1:$I$89,5,0)</f>
        <v>21.868787568927981</v>
      </c>
      <c r="AK17" s="13">
        <f t="shared" si="35"/>
        <v>7.0375448403422114</v>
      </c>
      <c r="AL17" s="20">
        <f t="shared" si="4"/>
        <v>50.34519561281224</v>
      </c>
      <c r="AM17" s="59">
        <f t="shared" si="5"/>
        <v>252.37505738508543</v>
      </c>
      <c r="AN17" s="59">
        <f ca="1">AVERAGE(OFFSET($AM$3,0,0,'Données projet'!$E$10+1,1))-AVERAGE(OFFSET($H$3,0,0,'Données projet'!$E$10+1,1))</f>
        <v>381.55743422692029</v>
      </c>
      <c r="AO17" s="59">
        <f t="shared" si="36"/>
        <v>360.34132229290537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</v>
      </c>
      <c r="BD17" s="12">
        <f>IF('Données projet'!$A$88&gt;35,BD16+BC17-BL16,IF(A17&lt;'Données projet'!$A$88,$BA$205^A17,IF(A17='Données projet'!$A$88,'Données projet'!$B$88,BD16+BC17-BL16)))</f>
        <v>14</v>
      </c>
      <c r="BE17" s="13">
        <f>BD17*VLOOKUP('Données projet'!$B$11,Paramètres!$A$1:$I$89,3,0)*VLOOKUP('Données projet'!$B$11,Paramètres!$A$1:$I$89,5,0)</f>
        <v>11.356800000000002</v>
      </c>
      <c r="BF17" s="13">
        <f t="shared" si="37"/>
        <v>3.9443572825295607</v>
      </c>
      <c r="BG17" s="20">
        <f t="shared" si="7"/>
        <v>26.649515600405653</v>
      </c>
      <c r="BH17" s="59">
        <f t="shared" si="8"/>
        <v>228.67937737267886</v>
      </c>
      <c r="BI17" s="59">
        <f ca="1">AVERAGE(OFFSET($BH$3,0,0,'Données projet'!$E$11+1,1))-AVERAGE(OFFSET($H$3,0,0,'Données projet'!$E$11+1,1))</f>
        <v>99.41315989132292</v>
      </c>
      <c r="BJ17" s="59">
        <f t="shared" si="38"/>
        <v>111.63051055870588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2.3111111111111109</v>
      </c>
      <c r="N18" s="13">
        <f>IF('Données projet'!$A$36&gt;35,N17+M18-V17,IF(A18&lt;'Données projet'!$A$36,$K$205^A18,IF(A18='Données projet'!$A$36,'Données projet'!$B$36,N17+M18-V17)))</f>
        <v>34.666666666666657</v>
      </c>
      <c r="O18" s="13">
        <f>N18*VLOOKUP('Données projet'!$B$9,Paramètres!$A$1:$I$89,3,0)*VLOOKUP('Données projet'!$B$9,Paramètres!$A$1:$I$89,5,0)</f>
        <v>31.366399999999988</v>
      </c>
      <c r="P18" s="13">
        <f t="shared" si="33"/>
        <v>9.6789501483766944</v>
      </c>
      <c r="Q18" s="20">
        <f t="shared" si="2"/>
        <v>71.487318175089399</v>
      </c>
      <c r="R18" s="59">
        <f t="shared" si="0"/>
        <v>275.98406810797042</v>
      </c>
      <c r="S18" s="59">
        <f ca="1">AVERAGE(OFFSET($R$3,0,0,'Données projet'!$E$9+1,1))-AVERAGE(OFFSET($H$3,0,0,'Données projet'!$E$9+1,1))</f>
        <v>474.39725570496114</v>
      </c>
      <c r="T18" s="59">
        <f t="shared" si="34"/>
        <v>196.13536593828755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5.85</v>
      </c>
      <c r="AI18" s="13">
        <f>IF('Données projet'!$A$62&gt;35,AI17+AH18-AQ17,IF(A18&lt;'Données projet'!$A$62,$AF$205^A18,IF(A18='Données projet'!$A$62,'Données projet'!$B$62,AI17+AH18-AQ17)))</f>
        <v>35.574548453745123</v>
      </c>
      <c r="AJ18" s="13">
        <f>AI18*VLOOKUP('Données projet'!$B$10,Paramètres!$A$1:$I$89,3,0)*VLOOKUP('Données projet'!$B$10,Paramètres!$A$1:$I$89,5,0)</f>
        <v>27.748147793921198</v>
      </c>
      <c r="AK18" s="13">
        <f t="shared" si="35"/>
        <v>8.6854760363431716</v>
      </c>
      <c r="AL18" s="20">
        <f t="shared" si="4"/>
        <v>63.455228171043764</v>
      </c>
      <c r="AM18" s="59">
        <f t="shared" si="5"/>
        <v>267.95197810392483</v>
      </c>
      <c r="AN18" s="59">
        <f ca="1">AVERAGE(OFFSET($AM$3,0,0,'Données projet'!$E$10+1,1))-AVERAGE(OFFSET($H$3,0,0,'Données projet'!$E$10+1,1))</f>
        <v>381.55743422692029</v>
      </c>
      <c r="AO18" s="59">
        <f t="shared" si="36"/>
        <v>360.34132229290537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</v>
      </c>
      <c r="BD18" s="12">
        <f>IF('Données projet'!$A$88&gt;35,BD17+BC18-BL17,IF(A18&lt;'Données projet'!$A$88,$BA$205^A18,IF(A18='Données projet'!$A$88,'Données projet'!$B$88,BD17+BC18-BL17)))</f>
        <v>15</v>
      </c>
      <c r="BE18" s="13">
        <f>BD18*VLOOKUP('Données projet'!$B$11,Paramètres!$A$1:$I$89,3,0)*VLOOKUP('Données projet'!$B$11,Paramètres!$A$1:$I$89,5,0)</f>
        <v>12.168000000000001</v>
      </c>
      <c r="BF18" s="13">
        <f t="shared" si="37"/>
        <v>4.192294187029626</v>
      </c>
      <c r="BG18" s="20">
        <f t="shared" si="7"/>
        <v>28.494179042409929</v>
      </c>
      <c r="BH18" s="59">
        <f t="shared" si="8"/>
        <v>232.99092897529098</v>
      </c>
      <c r="BI18" s="59">
        <f ca="1">AVERAGE(OFFSET($BH$3,0,0,'Données projet'!$E$11+1,1))-AVERAGE(OFFSET($H$3,0,0,'Données projet'!$E$11+1,1))</f>
        <v>99.41315989132292</v>
      </c>
      <c r="BJ18" s="59">
        <f t="shared" si="38"/>
        <v>111.63051055870588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2.3111111111111109</v>
      </c>
      <c r="N19" s="13">
        <f>IF('Données projet'!$A$36&gt;35,N18+M19-V18,IF(A19&lt;'Données projet'!$A$36,$K$205^A19,IF(A19='Données projet'!$A$36,'Données projet'!$B$36,N18+M19-V18)))</f>
        <v>36.977777777777767</v>
      </c>
      <c r="O19" s="13">
        <f>N19*VLOOKUP('Données projet'!$B$9,Paramètres!$A$1:$I$89,3,0)*VLOOKUP('Données projet'!$B$9,Paramètres!$A$1:$I$89,5,0)</f>
        <v>33.457493333333318</v>
      </c>
      <c r="P19" s="13">
        <f t="shared" si="33"/>
        <v>10.246945661533779</v>
      </c>
      <c r="Q19" s="20">
        <f t="shared" si="2"/>
        <v>76.118564582726847</v>
      </c>
      <c r="R19" s="59">
        <f t="shared" si="0"/>
        <v>283.06061050484089</v>
      </c>
      <c r="S19" s="59">
        <f ca="1">AVERAGE(OFFSET($R$3,0,0,'Données projet'!$E$9+1,1))-AVERAGE(OFFSET($H$3,0,0,'Données projet'!$E$9+1,1))</f>
        <v>474.39725570496114</v>
      </c>
      <c r="T19" s="59">
        <f t="shared" si="34"/>
        <v>196.13536593828755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5.85</v>
      </c>
      <c r="AI19" s="13">
        <f>IF('Données projet'!$A$62&gt;35,AI18+AH19-AQ18,IF(A19&lt;'Données projet'!$A$62,$AF$205^A19,IF(A19='Données projet'!$A$62,'Données projet'!$B$62,AI18+AH19-AQ18)))</f>
        <v>45.138662812705725</v>
      </c>
      <c r="AJ19" s="13">
        <f>AI19*VLOOKUP('Données projet'!$B$10,Paramètres!$A$1:$I$89,3,0)*VLOOKUP('Données projet'!$B$10,Paramètres!$A$1:$I$89,5,0)</f>
        <v>35.208156993910464</v>
      </c>
      <c r="AK19" s="13">
        <f t="shared" si="35"/>
        <v>10.71929141331386</v>
      </c>
      <c r="AL19" s="20">
        <f t="shared" si="4"/>
        <v>79.990305975915703</v>
      </c>
      <c r="AM19" s="59">
        <f t="shared" si="5"/>
        <v>286.93235189802976</v>
      </c>
      <c r="AN19" s="59">
        <f ca="1">AVERAGE(OFFSET($AM$3,0,0,'Données projet'!$E$10+1,1))-AVERAGE(OFFSET($H$3,0,0,'Données projet'!$E$10+1,1))</f>
        <v>381.55743422692029</v>
      </c>
      <c r="AO19" s="59">
        <f t="shared" si="36"/>
        <v>360.34132229290537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</v>
      </c>
      <c r="BD19" s="12">
        <f>IF('Données projet'!$A$88&gt;35,BD18+BC19-BL18,IF(A19&lt;'Données projet'!$A$88,$BA$205^A19,IF(A19='Données projet'!$A$88,'Données projet'!$B$88,BD18+BC19-BL18)))</f>
        <v>16</v>
      </c>
      <c r="BE19" s="13">
        <f>BD19*VLOOKUP('Données projet'!$B$11,Paramètres!$A$1:$I$89,3,0)*VLOOKUP('Données projet'!$B$11,Paramètres!$A$1:$I$89,5,0)</f>
        <v>12.979200000000001</v>
      </c>
      <c r="BF19" s="13">
        <f t="shared" si="37"/>
        <v>4.438313047708097</v>
      </c>
      <c r="BG19" s="20">
        <f t="shared" si="7"/>
        <v>30.33550189142494</v>
      </c>
      <c r="BH19" s="59">
        <f t="shared" si="8"/>
        <v>237.277547813539</v>
      </c>
      <c r="BI19" s="59">
        <f ca="1">AVERAGE(OFFSET($BH$3,0,0,'Données projet'!$E$11+1,1))-AVERAGE(OFFSET($H$3,0,0,'Données projet'!$E$11+1,1))</f>
        <v>99.41315989132292</v>
      </c>
      <c r="BJ19" s="59">
        <f t="shared" si="38"/>
        <v>111.63051055870588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2.3111111111111109</v>
      </c>
      <c r="N20" s="13">
        <f>IF('Données projet'!$A$36&gt;35,N19+M20-V19,IF(A20&lt;'Données projet'!$A$36,$K$205^A20,IF(A20='Données projet'!$A$36,'Données projet'!$B$36,N19+M20-V19)))</f>
        <v>39.288888888888877</v>
      </c>
      <c r="O20" s="13">
        <f>N20*VLOOKUP('Données projet'!$B$9,Paramètres!$A$1:$I$89,3,0)*VLOOKUP('Données projet'!$B$9,Paramètres!$A$1:$I$89,5,0)</f>
        <v>35.548586666666651</v>
      </c>
      <c r="P20" s="13">
        <f t="shared" si="33"/>
        <v>10.810821170933922</v>
      </c>
      <c r="Q20" s="20">
        <f t="shared" si="2"/>
        <v>80.742635317154324</v>
      </c>
      <c r="R20" s="59">
        <f t="shared" si="0"/>
        <v>290.10875963302703</v>
      </c>
      <c r="S20" s="59">
        <f ca="1">AVERAGE(OFFSET($R$3,0,0,'Données projet'!$E$9+1,1))-AVERAGE(OFFSET($H$3,0,0,'Données projet'!$E$9+1,1))</f>
        <v>474.39725570496114</v>
      </c>
      <c r="T20" s="59">
        <f t="shared" si="34"/>
        <v>196.13536593828755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5.85</v>
      </c>
      <c r="AI20" s="13">
        <f>IF('Données projet'!$A$62&gt;35,AI19+AH20-AQ19,IF(A20&lt;'Données projet'!$A$62,$AF$205^A20,IF(A20='Données projet'!$A$62,'Données projet'!$B$62,AI19+AH20-AQ19)))</f>
        <v>57.274061627749042</v>
      </c>
      <c r="AJ20" s="13">
        <f>AI20*VLOOKUP('Données projet'!$B$10,Paramètres!$A$1:$I$89,3,0)*VLOOKUP('Données projet'!$B$10,Paramètres!$A$1:$I$89,5,0)</f>
        <v>44.673768069644254</v>
      </c>
      <c r="AK20" s="13">
        <f t="shared" si="35"/>
        <v>13.229350691055696</v>
      </c>
      <c r="AL20" s="20">
        <f t="shared" si="4"/>
        <v>100.84793184155241</v>
      </c>
      <c r="AM20" s="59">
        <f t="shared" si="5"/>
        <v>310.21405615742515</v>
      </c>
      <c r="AN20" s="59">
        <f ca="1">AVERAGE(OFFSET($AM$3,0,0,'Données projet'!$E$10+1,1))-AVERAGE(OFFSET($H$3,0,0,'Données projet'!$E$10+1,1))</f>
        <v>381.55743422692029</v>
      </c>
      <c r="AO20" s="59">
        <f t="shared" si="36"/>
        <v>360.34132229290537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</v>
      </c>
      <c r="BD20" s="12">
        <f>IF('Données projet'!$A$88&gt;35,BD19+BC20-BL19,IF(A20&lt;'Données projet'!$A$88,$BA$205^A20,IF(A20='Données projet'!$A$88,'Données projet'!$B$88,BD19+BC20-BL19)))</f>
        <v>17</v>
      </c>
      <c r="BE20" s="13">
        <f>BD20*VLOOKUP('Données projet'!$B$11,Paramètres!$A$1:$I$89,3,0)*VLOOKUP('Données projet'!$B$11,Paramètres!$A$1:$I$89,5,0)</f>
        <v>13.7904</v>
      </c>
      <c r="BF20" s="13">
        <f t="shared" si="37"/>
        <v>4.6825473896592289</v>
      </c>
      <c r="BG20" s="20">
        <f t="shared" si="7"/>
        <v>32.173716703656488</v>
      </c>
      <c r="BH20" s="59">
        <f t="shared" si="8"/>
        <v>241.53984101952921</v>
      </c>
      <c r="BI20" s="59">
        <f ca="1">AVERAGE(OFFSET($BH$3,0,0,'Données projet'!$E$11+1,1))-AVERAGE(OFFSET($H$3,0,0,'Données projet'!$E$11+1,1))</f>
        <v>99.41315989132292</v>
      </c>
      <c r="BJ20" s="59">
        <f t="shared" si="38"/>
        <v>111.63051055870588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2.3111111111111109</v>
      </c>
      <c r="N21" s="13">
        <f>IF('Données projet'!$A$36&gt;35,N20+M21-V20,IF(A21&lt;'Données projet'!$A$36,$K$205^A21,IF(A21='Données projet'!$A$36,'Données projet'!$B$36,N20+M21-V20)))</f>
        <v>41.599999999999987</v>
      </c>
      <c r="O21" s="13">
        <f>N21*VLOOKUP('Données projet'!$B$9,Paramètres!$A$1:$I$89,3,0)*VLOOKUP('Données projet'!$B$9,Paramètres!$A$1:$I$89,5,0)</f>
        <v>37.639679999999984</v>
      </c>
      <c r="P21" s="13">
        <f t="shared" si="33"/>
        <v>11.370846635821119</v>
      </c>
      <c r="Q21" s="20">
        <f t="shared" si="2"/>
        <v>85.360000557388403</v>
      </c>
      <c r="R21" s="59">
        <f t="shared" si="0"/>
        <v>297.1293537493915</v>
      </c>
      <c r="S21" s="59">
        <f ca="1">AVERAGE(OFFSET($R$3,0,0,'Données projet'!$E$9+1,1))-AVERAGE(OFFSET($H$3,0,0,'Données projet'!$E$9+1,1))</f>
        <v>474.39725570496114</v>
      </c>
      <c r="T21" s="59">
        <f t="shared" si="34"/>
        <v>196.13536593828755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5.85</v>
      </c>
      <c r="AI21" s="13">
        <f>IF('Données projet'!$A$62&gt;35,AI20+AH21-AQ20,IF(A21&lt;'Données projet'!$A$62,$AF$205^A21,IF(A21='Données projet'!$A$62,'Données projet'!$B$62,AI20+AH21-AQ20)))</f>
        <v>72.672027280698373</v>
      </c>
      <c r="AJ21" s="13">
        <f>AI21*VLOOKUP('Données projet'!$B$10,Paramètres!$A$1:$I$89,3,0)*VLOOKUP('Données projet'!$B$10,Paramètres!$A$1:$I$89,5,0)</f>
        <v>56.684181278944735</v>
      </c>
      <c r="AK21" s="13">
        <f t="shared" si="35"/>
        <v>16.327172474251263</v>
      </c>
      <c r="AL21" s="20">
        <f t="shared" si="4"/>
        <v>127.16144112014972</v>
      </c>
      <c r="AM21" s="59">
        <f t="shared" si="5"/>
        <v>338.93079431215284</v>
      </c>
      <c r="AN21" s="59">
        <f ca="1">AVERAGE(OFFSET($AM$3,0,0,'Données projet'!$E$10+1,1))-AVERAGE(OFFSET($H$3,0,0,'Données projet'!$E$10+1,1))</f>
        <v>381.55743422692029</v>
      </c>
      <c r="AO21" s="59">
        <f t="shared" si="36"/>
        <v>360.34132229290537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</v>
      </c>
      <c r="BD21" s="12">
        <f>IF('Données projet'!$A$88&gt;35,BD20+BC21-BL20,IF(A21&lt;'Données projet'!$A$88,$BA$205^A21,IF(A21='Données projet'!$A$88,'Données projet'!$B$88,BD20+BC21-BL20)))</f>
        <v>18</v>
      </c>
      <c r="BE21" s="13">
        <f>BD21*VLOOKUP('Données projet'!$B$11,Paramètres!$A$1:$I$89,3,0)*VLOOKUP('Données projet'!$B$11,Paramètres!$A$1:$I$89,5,0)</f>
        <v>14.601599999999999</v>
      </c>
      <c r="BF21" s="13">
        <f t="shared" si="37"/>
        <v>4.9251141417391429</v>
      </c>
      <c r="BG21" s="20">
        <f t="shared" si="7"/>
        <v>34.009027130195669</v>
      </c>
      <c r="BH21" s="59">
        <f t="shared" si="8"/>
        <v>245.77838032219879</v>
      </c>
      <c r="BI21" s="59">
        <f ca="1">AVERAGE(OFFSET($BH$3,0,0,'Données projet'!$E$11+1,1))-AVERAGE(OFFSET($H$3,0,0,'Données projet'!$E$11+1,1))</f>
        <v>99.41315989132292</v>
      </c>
      <c r="BJ21" s="59">
        <f t="shared" si="38"/>
        <v>111.63051055870588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2.3111111111111109</v>
      </c>
      <c r="N22" s="13">
        <f>IF('Données projet'!$A$36&gt;35,N21+M22-V21,IF(A22&lt;'Données projet'!$A$36,$K$205^A22,IF(A22='Données projet'!$A$36,'Données projet'!$B$36,N21+M22-V21)))</f>
        <v>43.911111111111097</v>
      </c>
      <c r="O22" s="13">
        <f>N22*VLOOKUP('Données projet'!$B$9,Paramètres!$A$1:$I$89,3,0)*VLOOKUP('Données projet'!$B$9,Paramètres!$A$1:$I$89,5,0)</f>
        <v>39.730773333333318</v>
      </c>
      <c r="P22" s="13">
        <f t="shared" si="33"/>
        <v>11.927260325855167</v>
      </c>
      <c r="Q22" s="20">
        <f t="shared" si="2"/>
        <v>89.971075289753273</v>
      </c>
      <c r="R22" s="59">
        <f t="shared" si="0"/>
        <v>304.12316953277679</v>
      </c>
      <c r="S22" s="59">
        <f ca="1">AVERAGE(OFFSET($R$3,0,0,'Données projet'!$E$9+1,1))-AVERAGE(OFFSET($H$3,0,0,'Données projet'!$E$9+1,1))</f>
        <v>474.39725570496114</v>
      </c>
      <c r="T22" s="59">
        <f t="shared" si="34"/>
        <v>196.13536593828755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5.85</v>
      </c>
      <c r="AI22" s="13">
        <f>IF('Données projet'!$A$62&gt;35,AI21+AH22-AQ21,IF(A22&lt;'Données projet'!$A$62,$AF$205^A22,IF(A22='Données projet'!$A$62,'Données projet'!$B$62,AI21+AH22-AQ21)))</f>
        <v>92.209691420380025</v>
      </c>
      <c r="AJ22" s="13">
        <f>AI22*VLOOKUP('Données projet'!$B$10,Paramètres!$A$1:$I$89,3,0)*VLOOKUP('Données projet'!$B$10,Paramètres!$A$1:$I$89,5,0)</f>
        <v>71.923559307896426</v>
      </c>
      <c r="AK22" s="13">
        <f t="shared" si="35"/>
        <v>20.150388876166009</v>
      </c>
      <c r="AL22" s="20">
        <f t="shared" si="4"/>
        <v>160.36212642057541</v>
      </c>
      <c r="AM22" s="59">
        <f t="shared" si="5"/>
        <v>374.51422066359896</v>
      </c>
      <c r="AN22" s="59">
        <f ca="1">AVERAGE(OFFSET($AM$3,0,0,'Données projet'!$E$10+1,1))-AVERAGE(OFFSET($H$3,0,0,'Données projet'!$E$10+1,1))</f>
        <v>381.55743422692029</v>
      </c>
      <c r="AO22" s="59">
        <f t="shared" si="36"/>
        <v>360.34132229290537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</v>
      </c>
      <c r="BD22" s="12">
        <f>IF('Données projet'!$A$88&gt;35,BD21+BC22-BL21,IF(A22&lt;'Données projet'!$A$88,$BA$205^A22,IF(A22='Données projet'!$A$88,'Données projet'!$B$88,BD21+BC22-BL21)))</f>
        <v>19</v>
      </c>
      <c r="BE22" s="13">
        <f>BD22*VLOOKUP('Données projet'!$B$11,Paramètres!$A$1:$I$89,3,0)*VLOOKUP('Données projet'!$B$11,Paramètres!$A$1:$I$89,5,0)</f>
        <v>15.412800000000002</v>
      </c>
      <c r="BF22" s="13">
        <f t="shared" si="37"/>
        <v>5.1661165069289936</v>
      </c>
      <c r="BG22" s="20">
        <f t="shared" si="7"/>
        <v>35.841612916234673</v>
      </c>
      <c r="BH22" s="59">
        <f t="shared" si="8"/>
        <v>249.99370715925821</v>
      </c>
      <c r="BI22" s="59">
        <f ca="1">AVERAGE(OFFSET($BH$3,0,0,'Données projet'!$E$11+1,1))-AVERAGE(OFFSET($H$3,0,0,'Données projet'!$E$11+1,1))</f>
        <v>99.41315989132292</v>
      </c>
      <c r="BJ22" s="59">
        <f t="shared" si="38"/>
        <v>111.63051055870588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2.3111111111111109</v>
      </c>
      <c r="N23" s="13">
        <f>IF('Données projet'!$A$36&gt;35,N22+M23-V22,IF(A23&lt;'Données projet'!$A$36,$K$205^A23,IF(A23='Données projet'!$A$36,'Données projet'!$B$36,N22+M23-V22)))</f>
        <v>46.222222222222207</v>
      </c>
      <c r="O23" s="13">
        <f>N23*VLOOKUP('Données projet'!$B$9,Paramètres!$A$1:$I$89,3,0)*VLOOKUP('Données projet'!$B$9,Paramètres!$A$1:$I$89,5,0)</f>
        <v>41.821866666666651</v>
      </c>
      <c r="P23" s="13">
        <f t="shared" si="33"/>
        <v>12.480274013109831</v>
      </c>
      <c r="Q23" s="20">
        <f t="shared" si="2"/>
        <v>94.576228350610691</v>
      </c>
      <c r="R23" s="59">
        <f t="shared" si="0"/>
        <v>311.09093123750642</v>
      </c>
      <c r="S23" s="59">
        <f ca="1">AVERAGE(OFFSET($R$3,0,0,'Données projet'!$E$9+1,1))-AVERAGE(OFFSET($H$3,0,0,'Données projet'!$E$9+1,1))</f>
        <v>474.39725570496114</v>
      </c>
      <c r="T23" s="59">
        <f t="shared" si="34"/>
        <v>196.13536593828755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117</v>
      </c>
      <c r="AG23" s="12">
        <f>VLOOKUP(A23,'Données projet'!$A$61:$I$81,9,0)</f>
        <v>5.85</v>
      </c>
      <c r="AH23" s="12">
        <f t="array" ref="AH23">INDEX(AG:AG,MIN(IF(ISNUMBER(AG23:AG219),ROW(AG23:AG219),"")))</f>
        <v>5.85</v>
      </c>
      <c r="AI23" s="13">
        <f>IF('Données projet'!$A$62&gt;35,AI22+AH23-AQ22,IF(A23&lt;'Données projet'!$A$62,$AF$205^A23,IF(A23='Données projet'!$A$62,'Données projet'!$B$62,AI22+AH23-AQ22)))</f>
        <v>117</v>
      </c>
      <c r="AJ23" s="13">
        <f>AI23*VLOOKUP('Données projet'!$B$10,Paramètres!$A$1:$I$89,3,0)*VLOOKUP('Données projet'!$B$10,Paramètres!$A$1:$I$89,5,0)</f>
        <v>91.26</v>
      </c>
      <c r="AK23" s="13">
        <f t="shared" si="35"/>
        <v>24.868860330902777</v>
      </c>
      <c r="AL23" s="20">
        <f t="shared" si="4"/>
        <v>202.25776507632233</v>
      </c>
      <c r="AM23" s="59">
        <f t="shared" si="5"/>
        <v>418.77246796321805</v>
      </c>
      <c r="AN23" s="59">
        <f ca="1">AVERAGE(OFFSET($AM$3,0,0,'Données projet'!$E$10+1,1))-AVERAGE(OFFSET($H$3,0,0,'Données projet'!$E$10+1,1))</f>
        <v>381.55743422692029</v>
      </c>
      <c r="AO23" s="59">
        <f t="shared" si="36"/>
        <v>360.34132229290537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</v>
      </c>
      <c r="BD23" s="12">
        <f>IF('Données projet'!$A$88&gt;35,BD22+BC23-BL22,IF(A23&lt;'Données projet'!$A$88,$BA$205^A23,IF(A23='Données projet'!$A$88,'Données projet'!$B$88,BD22+BC23-BL22)))</f>
        <v>20</v>
      </c>
      <c r="BE23" s="13">
        <f>BD23*VLOOKUP('Données projet'!$B$11,Paramètres!$A$1:$I$89,3,0)*VLOOKUP('Données projet'!$B$11,Paramètres!$A$1:$I$89,5,0)</f>
        <v>16.224</v>
      </c>
      <c r="BF23" s="13">
        <f t="shared" si="37"/>
        <v>5.4056462111722139</v>
      </c>
      <c r="BG23" s="20">
        <f t="shared" si="7"/>
        <v>37.671633817791609</v>
      </c>
      <c r="BH23" s="59">
        <f t="shared" si="8"/>
        <v>254.18633670468733</v>
      </c>
      <c r="BI23" s="59">
        <f ca="1">AVERAGE(OFFSET($BH$3,0,0,'Données projet'!$E$11+1,1))-AVERAGE(OFFSET($H$3,0,0,'Données projet'!$E$11+1,1))</f>
        <v>99.41315989132292</v>
      </c>
      <c r="BJ23" s="59">
        <f t="shared" si="38"/>
        <v>111.63051055870588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2.3111111111111109</v>
      </c>
      <c r="N24" s="13">
        <f>IF('Données projet'!$A$36&gt;35,N23+M24-V23,IF(A24&lt;'Données projet'!$A$36,$K$205^A24,IF(A24='Données projet'!$A$36,'Données projet'!$B$36,N23+M24-V23)))</f>
        <v>48.533333333333317</v>
      </c>
      <c r="O24" s="13">
        <f>N24*VLOOKUP('Données projet'!$B$9,Paramètres!$A$1:$I$89,3,0)*VLOOKUP('Données projet'!$B$9,Paramètres!$A$1:$I$89,5,0)</f>
        <v>43.912959999999984</v>
      </c>
      <c r="P24" s="13">
        <f t="shared" si="33"/>
        <v>13.030077096161751</v>
      </c>
      <c r="Q24" s="20">
        <f t="shared" si="2"/>
        <v>99.175789609148339</v>
      </c>
      <c r="R24" s="59">
        <f t="shared" si="0"/>
        <v>318.03331798502273</v>
      </c>
      <c r="S24" s="59">
        <f ca="1">AVERAGE(OFFSET($R$3,0,0,'Données projet'!$E$9+1,1))-AVERAGE(OFFSET($H$3,0,0,'Données projet'!$E$9+1,1))</f>
        <v>474.39725570496114</v>
      </c>
      <c r="T24" s="59">
        <f t="shared" si="34"/>
        <v>196.13536593828755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</v>
      </c>
      <c r="AI24" s="13">
        <f>IF('Données projet'!$A$62&gt;35,AI23+AH24-AQ23,IF(A24&lt;'Données projet'!$A$62,$AF$205^A24,IF(A24='Données projet'!$A$62,'Données projet'!$B$62,AI23+AH24-AQ23)))</f>
        <v>100</v>
      </c>
      <c r="AJ24" s="13">
        <f>AI24*VLOOKUP('Données projet'!$B$10,Paramètres!$A$1:$I$89,3,0)*VLOOKUP('Données projet'!$B$10,Paramètres!$A$1:$I$89,5,0)</f>
        <v>78</v>
      </c>
      <c r="AK24" s="13">
        <f t="shared" si="35"/>
        <v>21.647455512768612</v>
      </c>
      <c r="AL24" s="20">
        <f t="shared" si="4"/>
        <v>173.55265168473866</v>
      </c>
      <c r="AM24" s="59">
        <f t="shared" si="5"/>
        <v>392.41018006061302</v>
      </c>
      <c r="AN24" s="59">
        <f ca="1">AVERAGE(OFFSET($AM$3,0,0,'Données projet'!$E$10+1,1))-AVERAGE(OFFSET($H$3,0,0,'Données projet'!$E$10+1,1))</f>
        <v>381.55743422692029</v>
      </c>
      <c r="AO24" s="59">
        <f t="shared" si="36"/>
        <v>360.34132229290537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</v>
      </c>
      <c r="BD24" s="12">
        <f>IF('Données projet'!$A$88&gt;35,BD23+BC24-BL23,IF(A24&lt;'Données projet'!$A$88,$BA$205^A24,IF(A24='Données projet'!$A$88,'Données projet'!$B$88,BD23+BC24-BL23)))</f>
        <v>21</v>
      </c>
      <c r="BE24" s="13">
        <f>BD24*VLOOKUP('Données projet'!$B$11,Paramètres!$A$1:$I$89,3,0)*VLOOKUP('Données projet'!$B$11,Paramètres!$A$1:$I$89,5,0)</f>
        <v>17.0352</v>
      </c>
      <c r="BF24" s="13">
        <f t="shared" si="37"/>
        <v>5.6437852896626746</v>
      </c>
      <c r="BG24" s="20">
        <f t="shared" si="7"/>
        <v>39.499232712829155</v>
      </c>
      <c r="BH24" s="59">
        <f t="shared" si="8"/>
        <v>258.35676108870354</v>
      </c>
      <c r="BI24" s="59">
        <f ca="1">AVERAGE(OFFSET($BH$3,0,0,'Données projet'!$E$11+1,1))-AVERAGE(OFFSET($H$3,0,0,'Données projet'!$E$11+1,1))</f>
        <v>99.41315989132292</v>
      </c>
      <c r="BJ24" s="59">
        <f t="shared" si="38"/>
        <v>111.63051055870588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2.3111111111111109</v>
      </c>
      <c r="N25" s="13">
        <f>IF('Données projet'!$A$36&gt;35,N24+M25-V24,IF(A25&lt;'Données projet'!$A$36,$K$205^A25,IF(A25='Données projet'!$A$36,'Données projet'!$B$36,N24+M25-V24)))</f>
        <v>50.844444444444427</v>
      </c>
      <c r="O25" s="13">
        <f>N25*VLOOKUP('Données projet'!$B$9,Paramètres!$A$1:$I$89,3,0)*VLOOKUP('Données projet'!$B$9,Paramètres!$A$1:$I$89,5,0)</f>
        <v>46.00405333333331</v>
      </c>
      <c r="P25" s="13">
        <f t="shared" si="33"/>
        <v>13.576839916381575</v>
      </c>
      <c r="Q25" s="20">
        <f t="shared" si="2"/>
        <v>103.77005574325341</v>
      </c>
      <c r="R25" s="59">
        <f t="shared" si="0"/>
        <v>324.95096964672177</v>
      </c>
      <c r="S25" s="59">
        <f ca="1">AVERAGE(OFFSET($R$3,0,0,'Données projet'!$E$9+1,1))-AVERAGE(OFFSET($H$3,0,0,'Données projet'!$E$9+1,1))</f>
        <v>474.39725570496114</v>
      </c>
      <c r="T25" s="59">
        <f t="shared" si="34"/>
        <v>196.13536593828755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</v>
      </c>
      <c r="AI25" s="13">
        <f>IF('Données projet'!$A$62&gt;35,AI24+AH25-AQ24,IF(A25&lt;'Données projet'!$A$62,$AF$205^A25,IF(A25='Données projet'!$A$62,'Données projet'!$B$62,AI24+AH25-AQ24)))</f>
        <v>110</v>
      </c>
      <c r="AJ25" s="13">
        <f>AI25*VLOOKUP('Données projet'!$B$10,Paramètres!$A$1:$I$89,3,0)*VLOOKUP('Données projet'!$B$10,Paramètres!$A$1:$I$89,5,0)</f>
        <v>85.8</v>
      </c>
      <c r="AK25" s="13">
        <f t="shared" si="35"/>
        <v>23.549485995669766</v>
      </c>
      <c r="AL25" s="20">
        <f t="shared" si="4"/>
        <v>190.45035477579151</v>
      </c>
      <c r="AM25" s="59">
        <f t="shared" si="5"/>
        <v>411.6312686792599</v>
      </c>
      <c r="AN25" s="59">
        <f ca="1">AVERAGE(OFFSET($AM$3,0,0,'Données projet'!$E$10+1,1))-AVERAGE(OFFSET($H$3,0,0,'Données projet'!$E$10+1,1))</f>
        <v>381.55743422692029</v>
      </c>
      <c r="AO25" s="59">
        <f t="shared" si="36"/>
        <v>360.34132229290537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</v>
      </c>
      <c r="BD25" s="12">
        <f>IF('Données projet'!$A$88&gt;35,BD24+BC25-BL24,IF(A25&lt;'Données projet'!$A$88,$BA$205^A25,IF(A25='Données projet'!$A$88,'Données projet'!$B$88,BD24+BC25-BL24)))</f>
        <v>22</v>
      </c>
      <c r="BE25" s="13">
        <f>BD25*VLOOKUP('Données projet'!$B$11,Paramètres!$A$1:$I$89,3,0)*VLOOKUP('Données projet'!$B$11,Paramètres!$A$1:$I$89,5,0)</f>
        <v>17.846400000000003</v>
      </c>
      <c r="BF25" s="13">
        <f t="shared" si="37"/>
        <v>5.880607523247166</v>
      </c>
      <c r="BG25" s="20">
        <f t="shared" si="7"/>
        <v>41.324538102988818</v>
      </c>
      <c r="BH25" s="59">
        <f t="shared" si="8"/>
        <v>262.50545200645723</v>
      </c>
      <c r="BI25" s="59">
        <f ca="1">AVERAGE(OFFSET($BH$3,0,0,'Données projet'!$E$11+1,1))-AVERAGE(OFFSET($H$3,0,0,'Données projet'!$E$11+1,1))</f>
        <v>99.41315989132292</v>
      </c>
      <c r="BJ25" s="59">
        <f t="shared" si="38"/>
        <v>111.63051055870588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2.3111111111111109</v>
      </c>
      <c r="N26" s="13">
        <f>IF('Données projet'!$A$36&gt;35,N25+M26-V25,IF(A26&lt;'Données projet'!$A$36,$K$205^A26,IF(A26='Données projet'!$A$36,'Données projet'!$B$36,N25+M26-V25)))</f>
        <v>53.155555555555537</v>
      </c>
      <c r="O26" s="13">
        <f>N26*VLOOKUP('Données projet'!$B$9,Paramètres!$A$1:$I$89,3,0)*VLOOKUP('Données projet'!$B$9,Paramètres!$A$1:$I$89,5,0)</f>
        <v>48.095146666666643</v>
      </c>
      <c r="P26" s="13">
        <f t="shared" si="33"/>
        <v>14.120716454218751</v>
      </c>
      <c r="Q26" s="20">
        <f t="shared" si="2"/>
        <v>108.35929493554205</v>
      </c>
      <c r="R26" s="59">
        <f t="shared" si="0"/>
        <v>331.84449164508857</v>
      </c>
      <c r="S26" s="59">
        <f ca="1">AVERAGE(OFFSET($R$3,0,0,'Données projet'!$E$9+1,1))-AVERAGE(OFFSET($H$3,0,0,'Données projet'!$E$9+1,1))</f>
        <v>474.39725570496114</v>
      </c>
      <c r="T26" s="59">
        <f t="shared" si="34"/>
        <v>196.13536593828755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</v>
      </c>
      <c r="AI26" s="13">
        <f>IF('Données projet'!$A$62&gt;35,AI25+AH26-AQ25,IF(A26&lt;'Données projet'!$A$62,$AF$205^A26,IF(A26='Données projet'!$A$62,'Données projet'!$B$62,AI25+AH26-AQ25)))</f>
        <v>120</v>
      </c>
      <c r="AJ26" s="13">
        <f>AI26*VLOOKUP('Données projet'!$B$10,Paramètres!$A$1:$I$89,3,0)*VLOOKUP('Données projet'!$B$10,Paramètres!$A$1:$I$89,5,0)</f>
        <v>93.600000000000009</v>
      </c>
      <c r="AK26" s="13">
        <f t="shared" si="35"/>
        <v>25.431466524572937</v>
      </c>
      <c r="AL26" s="20">
        <f t="shared" si="4"/>
        <v>207.31313753029789</v>
      </c>
      <c r="AM26" s="59">
        <f t="shared" si="5"/>
        <v>430.79833423984439</v>
      </c>
      <c r="AN26" s="59">
        <f ca="1">AVERAGE(OFFSET($AM$3,0,0,'Données projet'!$E$10+1,1))-AVERAGE(OFFSET($H$3,0,0,'Données projet'!$E$10+1,1))</f>
        <v>381.55743422692029</v>
      </c>
      <c r="AO26" s="59">
        <f t="shared" si="36"/>
        <v>360.34132229290537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</v>
      </c>
      <c r="BD26" s="12">
        <f>IF('Données projet'!$A$88&gt;35,BD25+BC26-BL25,IF(A26&lt;'Données projet'!$A$88,$BA$205^A26,IF(A26='Données projet'!$A$88,'Données projet'!$B$88,BD25+BC26-BL25)))</f>
        <v>23</v>
      </c>
      <c r="BE26" s="13">
        <f>BD26*VLOOKUP('Données projet'!$B$11,Paramètres!$A$1:$I$89,3,0)*VLOOKUP('Données projet'!$B$11,Paramètres!$A$1:$I$89,5,0)</f>
        <v>18.657600000000002</v>
      </c>
      <c r="BF26" s="13">
        <f t="shared" si="37"/>
        <v>6.1161796062812952</v>
      </c>
      <c r="BG26" s="20">
        <f t="shared" si="7"/>
        <v>43.147666147606593</v>
      </c>
      <c r="BH26" s="59">
        <f t="shared" si="8"/>
        <v>266.6328628571531</v>
      </c>
      <c r="BI26" s="59">
        <f ca="1">AVERAGE(OFFSET($BH$3,0,0,'Données projet'!$E$11+1,1))-AVERAGE(OFFSET($H$3,0,0,'Données projet'!$E$11+1,1))</f>
        <v>99.41315989132292</v>
      </c>
      <c r="BJ26" s="59">
        <f t="shared" si="38"/>
        <v>111.63051055870588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2.3111111111111109</v>
      </c>
      <c r="N27" s="13">
        <f>IF('Données projet'!$A$36&gt;35,N26+M27-V26,IF(A27&lt;'Données projet'!$A$36,$K$205^A27,IF(A27='Données projet'!$A$36,'Données projet'!$B$36,N26+M27-V26)))</f>
        <v>55.466666666666647</v>
      </c>
      <c r="O27" s="13">
        <f>N27*VLOOKUP('Données projet'!$B$9,Paramètres!$A$1:$I$89,3,0)*VLOOKUP('Données projet'!$B$9,Paramètres!$A$1:$I$89,5,0)</f>
        <v>50.186239999999984</v>
      </c>
      <c r="P27" s="13">
        <f t="shared" si="33"/>
        <v>14.661846543335718</v>
      </c>
      <c r="Q27" s="20">
        <f t="shared" si="2"/>
        <v>112.943750729643</v>
      </c>
      <c r="R27" s="59">
        <f t="shared" si="0"/>
        <v>338.71445891326277</v>
      </c>
      <c r="S27" s="59">
        <f ca="1">AVERAGE(OFFSET($R$3,0,0,'Données projet'!$E$9+1,1))-AVERAGE(OFFSET($H$3,0,0,'Données projet'!$E$9+1,1))</f>
        <v>474.39725570496114</v>
      </c>
      <c r="T27" s="59">
        <f t="shared" si="34"/>
        <v>196.13536593828755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</v>
      </c>
      <c r="AI27" s="13">
        <f>IF('Données projet'!$A$62&gt;35,AI26+AH27-AQ26,IF(A27&lt;'Données projet'!$A$62,$AF$205^A27,IF(A27='Données projet'!$A$62,'Données projet'!$B$62,AI26+AH27-AQ26)))</f>
        <v>130</v>
      </c>
      <c r="AJ27" s="13">
        <f>AI27*VLOOKUP('Données projet'!$B$10,Paramètres!$A$1:$I$89,3,0)*VLOOKUP('Données projet'!$B$10,Paramètres!$A$1:$I$89,5,0)</f>
        <v>101.4</v>
      </c>
      <c r="AK27" s="13">
        <f t="shared" si="35"/>
        <v>27.295257887453797</v>
      </c>
      <c r="AL27" s="20">
        <f t="shared" si="4"/>
        <v>224.14424082064872</v>
      </c>
      <c r="AM27" s="59">
        <f t="shared" si="5"/>
        <v>449.91494900426852</v>
      </c>
      <c r="AN27" s="59">
        <f ca="1">AVERAGE(OFFSET($AM$3,0,0,'Données projet'!$E$10+1,1))-AVERAGE(OFFSET($H$3,0,0,'Données projet'!$E$10+1,1))</f>
        <v>381.55743422692029</v>
      </c>
      <c r="AO27" s="59">
        <f t="shared" si="36"/>
        <v>360.34132229290537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</v>
      </c>
      <c r="BD27" s="12">
        <f>IF('Données projet'!$A$88&gt;35,BD26+BC27-BL26,IF(A27&lt;'Données projet'!$A$88,$BA$205^A27,IF(A27='Données projet'!$A$88,'Données projet'!$B$88,BD26+BC27-BL26)))</f>
        <v>24</v>
      </c>
      <c r="BE27" s="13">
        <f>BD27*VLOOKUP('Données projet'!$B$11,Paramètres!$A$1:$I$89,3,0)*VLOOKUP('Données projet'!$B$11,Paramètres!$A$1:$I$89,5,0)</f>
        <v>19.468800000000002</v>
      </c>
      <c r="BF27" s="13">
        <f t="shared" si="37"/>
        <v>6.3505621056489936</v>
      </c>
      <c r="BG27" s="20">
        <f t="shared" si="7"/>
        <v>44.968722334005328</v>
      </c>
      <c r="BH27" s="59">
        <f t="shared" si="8"/>
        <v>270.73943051762512</v>
      </c>
      <c r="BI27" s="59">
        <f ca="1">AVERAGE(OFFSET($BH$3,0,0,'Données projet'!$E$11+1,1))-AVERAGE(OFFSET($H$3,0,0,'Données projet'!$E$11+1,1))</f>
        <v>99.41315989132292</v>
      </c>
      <c r="BJ27" s="59">
        <f t="shared" si="38"/>
        <v>111.63051055870588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2.3111111111111109</v>
      </c>
      <c r="N28" s="13">
        <f>IF('Données projet'!$A$36&gt;35,N27+M28-V27,IF(A28&lt;'Données projet'!$A$36,$K$205^A28,IF(A28='Données projet'!$A$36,'Données projet'!$B$36,N27+M28-V27)))</f>
        <v>57.777777777777757</v>
      </c>
      <c r="O28" s="13">
        <f>N28*VLOOKUP('Données projet'!$B$9,Paramètres!$A$1:$I$89,3,0)*VLOOKUP('Données projet'!$B$9,Paramètres!$A$1:$I$89,5,0)</f>
        <v>52.277333333333317</v>
      </c>
      <c r="P28" s="13">
        <f t="shared" si="33"/>
        <v>15.200357705321382</v>
      </c>
      <c r="Q28" s="20">
        <f t="shared" si="2"/>
        <v>117.52364522565694</v>
      </c>
      <c r="R28" s="59">
        <f t="shared" si="0"/>
        <v>345.56141919198905</v>
      </c>
      <c r="S28" s="59">
        <f ca="1">AVERAGE(OFFSET($R$3,0,0,'Données projet'!$E$9+1,1))-AVERAGE(OFFSET($H$3,0,0,'Données projet'!$E$9+1,1))</f>
        <v>474.39725570496114</v>
      </c>
      <c r="T28" s="59">
        <f t="shared" si="34"/>
        <v>196.13536593828755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140</v>
      </c>
      <c r="AG28" s="12">
        <f>VLOOKUP(A28,'Données projet'!$A$61:$I$81,9,0)</f>
        <v>10</v>
      </c>
      <c r="AH28" s="12">
        <f t="array" ref="AH28">INDEX(AG:AG,MIN(IF(ISNUMBER(AG28:AG224),ROW(AG28:AG224),"")))</f>
        <v>10</v>
      </c>
      <c r="AI28" s="13">
        <f>IF('Données projet'!$A$62&gt;35,AI27+AH28-AQ27,IF(A28&lt;'Données projet'!$A$62,$AF$205^A28,IF(A28='Données projet'!$A$62,'Données projet'!$B$62,AI27+AH28-AQ27)))</f>
        <v>140</v>
      </c>
      <c r="AJ28" s="13">
        <f>AI28*VLOOKUP('Données projet'!$B$10,Paramètres!$A$1:$I$89,3,0)*VLOOKUP('Données projet'!$B$10,Paramètres!$A$1:$I$89,5,0)</f>
        <v>109.2</v>
      </c>
      <c r="AK28" s="13">
        <f t="shared" si="35"/>
        <v>29.142418334948612</v>
      </c>
      <c r="AL28" s="20">
        <f t="shared" si="4"/>
        <v>240.94637860003544</v>
      </c>
      <c r="AM28" s="59">
        <f t="shared" si="5"/>
        <v>468.98415256636758</v>
      </c>
      <c r="AN28" s="59">
        <f ca="1">AVERAGE(OFFSET($AM$3,0,0,'Données projet'!$E$10+1,1))-AVERAGE(OFFSET($H$3,0,0,'Données projet'!$E$10+1,1))</f>
        <v>381.55743422692029</v>
      </c>
      <c r="AO28" s="59">
        <f t="shared" si="36"/>
        <v>360.34132229290537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</v>
      </c>
      <c r="BD28" s="12">
        <f>IF('Données projet'!$A$88&gt;35,BD27+BC28-BL27,IF(A28&lt;'Données projet'!$A$88,$BA$205^A28,IF(A28='Données projet'!$A$88,'Données projet'!$B$88,BD27+BC28-BL27)))</f>
        <v>25</v>
      </c>
      <c r="BE28" s="13">
        <f>BD28*VLOOKUP('Données projet'!$B$11,Paramètres!$A$1:$I$89,3,0)*VLOOKUP('Données projet'!$B$11,Paramètres!$A$1:$I$89,5,0)</f>
        <v>20.28</v>
      </c>
      <c r="BF28" s="13">
        <f t="shared" si="37"/>
        <v>6.5838102554415308</v>
      </c>
      <c r="BG28" s="20">
        <f t="shared" si="7"/>
        <v>46.787802861560664</v>
      </c>
      <c r="BH28" s="59">
        <f t="shared" si="8"/>
        <v>274.82557682789275</v>
      </c>
      <c r="BI28" s="59">
        <f ca="1">AVERAGE(OFFSET($BH$3,0,0,'Données projet'!$E$11+1,1))-AVERAGE(OFFSET($H$3,0,0,'Données projet'!$E$11+1,1))</f>
        <v>99.41315989132292</v>
      </c>
      <c r="BJ28" s="59">
        <f t="shared" si="38"/>
        <v>111.63051055870588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2.3111111111111109</v>
      </c>
      <c r="N29" s="13">
        <f>IF('Données projet'!$A$36&gt;35,N28+M29-V28,IF(A29&lt;'Données projet'!$A$36,$K$205^A29,IF(A29='Données projet'!$A$36,'Données projet'!$B$36,N28+M29-V28)))</f>
        <v>60.088888888888867</v>
      </c>
      <c r="O29" s="13">
        <f>N29*VLOOKUP('Données projet'!$B$9,Paramètres!$A$1:$I$89,3,0)*VLOOKUP('Données projet'!$B$9,Paramètres!$A$1:$I$89,5,0)</f>
        <v>54.36842666666665</v>
      </c>
      <c r="P29" s="13">
        <f t="shared" si="33"/>
        <v>15.736366682587215</v>
      </c>
      <c r="Q29" s="20">
        <f t="shared" si="2"/>
        <v>122.09918174995046</v>
      </c>
      <c r="R29" s="59">
        <f t="shared" si="0"/>
        <v>352.38589579914066</v>
      </c>
      <c r="S29" s="59">
        <f ca="1">AVERAGE(OFFSET($R$3,0,0,'Données projet'!$E$9+1,1))-AVERAGE(OFFSET($H$3,0,0,'Données projet'!$E$9+1,1))</f>
        <v>474.39725570496114</v>
      </c>
      <c r="T29" s="59">
        <f t="shared" si="34"/>
        <v>196.13536593828755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10.8</v>
      </c>
      <c r="AI29" s="13">
        <f>IF('Données projet'!$A$62&gt;35,AI28+AH29-AQ28,IF(A29&lt;'Données projet'!$A$62,$AF$205^A29,IF(A29='Données projet'!$A$62,'Données projet'!$B$62,AI28+AH29-AQ28)))</f>
        <v>134.80000000000001</v>
      </c>
      <c r="AJ29" s="13">
        <f>AI29*VLOOKUP('Données projet'!$B$10,Paramètres!$A$1:$I$89,3,0)*VLOOKUP('Données projet'!$B$10,Paramètres!$A$1:$I$89,5,0)</f>
        <v>105.14400000000001</v>
      </c>
      <c r="AK29" s="13">
        <f t="shared" si="35"/>
        <v>28.183884120602002</v>
      </c>
      <c r="AL29" s="20">
        <f t="shared" si="4"/>
        <v>232.21273151004846</v>
      </c>
      <c r="AM29" s="59">
        <f t="shared" si="5"/>
        <v>462.49944555923867</v>
      </c>
      <c r="AN29" s="59">
        <f ca="1">AVERAGE(OFFSET($AM$3,0,0,'Données projet'!$E$10+1,1))-AVERAGE(OFFSET($H$3,0,0,'Données projet'!$E$10+1,1))</f>
        <v>381.55743422692029</v>
      </c>
      <c r="AO29" s="59">
        <f t="shared" si="36"/>
        <v>360.34132229290537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</v>
      </c>
      <c r="BD29" s="12">
        <f>IF('Données projet'!$A$88&gt;35,BD28+BC29-BL28,IF(A29&lt;'Données projet'!$A$88,$BA$205^A29,IF(A29='Données projet'!$A$88,'Données projet'!$B$88,BD28+BC29-BL28)))</f>
        <v>26</v>
      </c>
      <c r="BE29" s="13">
        <f>BD29*VLOOKUP('Données projet'!$B$11,Paramètres!$A$1:$I$89,3,0)*VLOOKUP('Données projet'!$B$11,Paramètres!$A$1:$I$89,5,0)</f>
        <v>21.091200000000001</v>
      </c>
      <c r="BF29" s="13">
        <f t="shared" si="37"/>
        <v>6.8159746209088015</v>
      </c>
      <c r="BG29" s="20">
        <f t="shared" si="7"/>
        <v>48.604995798082825</v>
      </c>
      <c r="BH29" s="59">
        <f t="shared" si="8"/>
        <v>278.89170984727298</v>
      </c>
      <c r="BI29" s="59">
        <f ca="1">AVERAGE(OFFSET($BH$3,0,0,'Données projet'!$E$11+1,1))-AVERAGE(OFFSET($H$3,0,0,'Données projet'!$E$11+1,1))</f>
        <v>99.41315989132292</v>
      </c>
      <c r="BJ29" s="59">
        <f t="shared" si="38"/>
        <v>111.63051055870588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2.3111111111111109</v>
      </c>
      <c r="N30" s="13">
        <f>IF('Données projet'!$A$36&gt;35,N29+M30-V29,IF(A30&lt;'Données projet'!$A$36,$K$205^A30,IF(A30='Données projet'!$A$36,'Données projet'!$B$36,N29+M30-V29)))</f>
        <v>62.399999999999977</v>
      </c>
      <c r="O30" s="13">
        <f>N30*VLOOKUP('Données projet'!$B$9,Paramètres!$A$1:$I$89,3,0)*VLOOKUP('Données projet'!$B$9,Paramètres!$A$1:$I$89,5,0)</f>
        <v>56.459519999999983</v>
      </c>
      <c r="P30" s="13">
        <f t="shared" si="33"/>
        <v>16.269980728799919</v>
      </c>
      <c r="Q30" s="20">
        <f t="shared" si="2"/>
        <v>126.67054710265982</v>
      </c>
      <c r="R30" s="59">
        <f t="shared" si="0"/>
        <v>359.18838997522334</v>
      </c>
      <c r="S30" s="59">
        <f ca="1">AVERAGE(OFFSET($R$3,0,0,'Données projet'!$E$9+1,1))-AVERAGE(OFFSET($H$3,0,0,'Données projet'!$E$9+1,1))</f>
        <v>474.39725570496114</v>
      </c>
      <c r="T30" s="59">
        <f t="shared" si="34"/>
        <v>196.13536593828755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10.8</v>
      </c>
      <c r="AI30" s="13">
        <f>IF('Données projet'!$A$62&gt;35,AI29+AH30-AQ29,IF(A30&lt;'Données projet'!$A$62,$AF$205^A30,IF(A30='Données projet'!$A$62,'Données projet'!$B$62,AI29+AH30-AQ29)))</f>
        <v>145.60000000000002</v>
      </c>
      <c r="AJ30" s="13">
        <f>AI30*VLOOKUP('Données projet'!$B$10,Paramètres!$A$1:$I$89,3,0)*VLOOKUP('Données projet'!$B$10,Paramètres!$A$1:$I$89,5,0)</f>
        <v>113.56800000000003</v>
      </c>
      <c r="AK30" s="13">
        <f t="shared" si="35"/>
        <v>30.17006506205821</v>
      </c>
      <c r="AL30" s="20">
        <f t="shared" si="4"/>
        <v>250.34379664975143</v>
      </c>
      <c r="AM30" s="59">
        <f t="shared" si="5"/>
        <v>482.86163952231493</v>
      </c>
      <c r="AN30" s="59">
        <f ca="1">AVERAGE(OFFSET($AM$3,0,0,'Données projet'!$E$10+1,1))-AVERAGE(OFFSET($H$3,0,0,'Données projet'!$E$10+1,1))</f>
        <v>381.55743422692029</v>
      </c>
      <c r="AO30" s="59">
        <f t="shared" si="36"/>
        <v>360.34132229290537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</v>
      </c>
      <c r="BD30" s="12">
        <f>IF('Données projet'!$A$88&gt;35,BD29+BC30-BL29,IF(A30&lt;'Données projet'!$A$88,$BA$205^A30,IF(A30='Données projet'!$A$88,'Données projet'!$B$88,BD29+BC30-BL29)))</f>
        <v>27</v>
      </c>
      <c r="BE30" s="13">
        <f>BD30*VLOOKUP('Données projet'!$B$11,Paramètres!$A$1:$I$89,3,0)*VLOOKUP('Données projet'!$B$11,Paramètres!$A$1:$I$89,5,0)</f>
        <v>21.902400000000004</v>
      </c>
      <c r="BF30" s="13">
        <f t="shared" si="37"/>
        <v>7.0471016573911687</v>
      </c>
      <c r="BG30" s="20">
        <f t="shared" si="7"/>
        <v>50.420382053289622</v>
      </c>
      <c r="BH30" s="59">
        <f t="shared" si="8"/>
        <v>282.93822492585315</v>
      </c>
      <c r="BI30" s="59">
        <f ca="1">AVERAGE(OFFSET($BH$3,0,0,'Données projet'!$E$11+1,1))-AVERAGE(OFFSET($H$3,0,0,'Données projet'!$E$11+1,1))</f>
        <v>99.41315989132292</v>
      </c>
      <c r="BJ30" s="59">
        <f t="shared" si="38"/>
        <v>111.63051055870588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2.3111111111111109</v>
      </c>
      <c r="N31" s="13">
        <f>IF('Données projet'!$A$36&gt;35,N30+M31-V30,IF(A31&lt;'Données projet'!$A$36,$K$205^A31,IF(A31='Données projet'!$A$36,'Données projet'!$B$36,N30+M31-V30)))</f>
        <v>64.711111111111094</v>
      </c>
      <c r="O31" s="13">
        <f>N31*VLOOKUP('Données projet'!$B$9,Paramètres!$A$1:$I$89,3,0)*VLOOKUP('Données projet'!$B$9,Paramètres!$A$1:$I$89,5,0)</f>
        <v>58.55061333333331</v>
      </c>
      <c r="P31" s="13">
        <f t="shared" si="33"/>
        <v>16.801298702764637</v>
      </c>
      <c r="Q31" s="20">
        <f t="shared" si="2"/>
        <v>131.23791346287058</v>
      </c>
      <c r="R31" s="59">
        <f t="shared" si="0"/>
        <v>365.96938288485467</v>
      </c>
      <c r="S31" s="59">
        <f ca="1">AVERAGE(OFFSET($R$3,0,0,'Données projet'!$E$9+1,1))-AVERAGE(OFFSET($H$3,0,0,'Données projet'!$E$9+1,1))</f>
        <v>474.39725570496114</v>
      </c>
      <c r="T31" s="59">
        <f t="shared" si="34"/>
        <v>196.13536593828755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10.8</v>
      </c>
      <c r="AI31" s="13">
        <f>IF('Données projet'!$A$62&gt;35,AI30+AH31-AQ30,IF(A31&lt;'Données projet'!$A$62,$AF$205^A31,IF(A31='Données projet'!$A$62,'Données projet'!$B$62,AI30+AH31-AQ30)))</f>
        <v>156.40000000000003</v>
      </c>
      <c r="AJ31" s="13">
        <f>AI31*VLOOKUP('Données projet'!$B$10,Paramètres!$A$1:$I$89,3,0)*VLOOKUP('Données projet'!$B$10,Paramètres!$A$1:$I$89,5,0)</f>
        <v>121.99200000000003</v>
      </c>
      <c r="AK31" s="13">
        <f t="shared" si="35"/>
        <v>32.139154469866327</v>
      </c>
      <c r="AL31" s="20">
        <f t="shared" si="4"/>
        <v>268.44509403501723</v>
      </c>
      <c r="AM31" s="59">
        <f t="shared" si="5"/>
        <v>503.17656345700129</v>
      </c>
      <c r="AN31" s="59">
        <f ca="1">AVERAGE(OFFSET($AM$3,0,0,'Données projet'!$E$10+1,1))-AVERAGE(OFFSET($H$3,0,0,'Données projet'!$E$10+1,1))</f>
        <v>381.55743422692029</v>
      </c>
      <c r="AO31" s="59">
        <f t="shared" si="36"/>
        <v>360.34132229290537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</v>
      </c>
      <c r="BD31" s="12">
        <f>IF('Données projet'!$A$88&gt;35,BD30+BC31-BL30,IF(A31&lt;'Données projet'!$A$88,$BA$205^A31,IF(A31='Données projet'!$A$88,'Données projet'!$B$88,BD30+BC31-BL30)))</f>
        <v>28</v>
      </c>
      <c r="BE31" s="13">
        <f>BD31*VLOOKUP('Données projet'!$B$11,Paramètres!$A$1:$I$89,3,0)*VLOOKUP('Données projet'!$B$11,Paramètres!$A$1:$I$89,5,0)</f>
        <v>22.713600000000003</v>
      </c>
      <c r="BF31" s="13">
        <f t="shared" si="37"/>
        <v>7.2772341841187993</v>
      </c>
      <c r="BG31" s="20">
        <f t="shared" si="7"/>
        <v>52.234036204006912</v>
      </c>
      <c r="BH31" s="59">
        <f t="shared" si="8"/>
        <v>286.965505625991</v>
      </c>
      <c r="BI31" s="59">
        <f ca="1">AVERAGE(OFFSET($BH$3,0,0,'Données projet'!$E$11+1,1))-AVERAGE(OFFSET($H$3,0,0,'Données projet'!$E$11+1,1))</f>
        <v>99.41315989132292</v>
      </c>
      <c r="BJ31" s="59">
        <f t="shared" si="38"/>
        <v>111.63051055870588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2.3111111111111109</v>
      </c>
      <c r="N32" s="13">
        <f>IF('Données projet'!$A$36&gt;35,N31+M32-V31,IF(A32&lt;'Données projet'!$A$36,$K$205^A32,IF(A32='Données projet'!$A$36,'Données projet'!$B$36,N31+M32-V31)))</f>
        <v>67.022222222222211</v>
      </c>
      <c r="O32" s="13">
        <f>N32*VLOOKUP('Données projet'!$B$9,Paramètres!$A$1:$I$89,3,0)*VLOOKUP('Données projet'!$B$9,Paramètres!$A$1:$I$89,5,0)</f>
        <v>60.641706666666657</v>
      </c>
      <c r="P32" s="13">
        <f t="shared" si="33"/>
        <v>17.330412001647879</v>
      </c>
      <c r="Q32" s="20">
        <f t="shared" si="2"/>
        <v>135.80144001398116</v>
      </c>
      <c r="R32" s="59">
        <f t="shared" si="0"/>
        <v>372.729337336757</v>
      </c>
      <c r="S32" s="59">
        <f ca="1">AVERAGE(OFFSET($R$3,0,0,'Données projet'!$E$9+1,1))-AVERAGE(OFFSET($H$3,0,0,'Données projet'!$E$9+1,1))</f>
        <v>474.39725570496114</v>
      </c>
      <c r="T32" s="59">
        <f t="shared" si="34"/>
        <v>196.13536593828755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10.8</v>
      </c>
      <c r="AI32" s="13">
        <f>IF('Données projet'!$A$62&gt;35,AI31+AH32-AQ31,IF(A32&lt;'Données projet'!$A$62,$AF$205^A32,IF(A32='Données projet'!$A$62,'Données projet'!$B$62,AI31+AH32-AQ31)))</f>
        <v>167.20000000000005</v>
      </c>
      <c r="AJ32" s="13">
        <f>AI32*VLOOKUP('Données projet'!$B$10,Paramètres!$A$1:$I$89,3,0)*VLOOKUP('Données projet'!$B$10,Paramètres!$A$1:$I$89,5,0)</f>
        <v>130.41600000000005</v>
      </c>
      <c r="AK32" s="13">
        <f t="shared" si="35"/>
        <v>34.092466837179941</v>
      </c>
      <c r="AL32" s="20">
        <f t="shared" si="4"/>
        <v>286.51891307475512</v>
      </c>
      <c r="AM32" s="59">
        <f t="shared" si="5"/>
        <v>523.44681039753095</v>
      </c>
      <c r="AN32" s="59">
        <f ca="1">AVERAGE(OFFSET($AM$3,0,0,'Données projet'!$E$10+1,1))-AVERAGE(OFFSET($H$3,0,0,'Données projet'!$E$10+1,1))</f>
        <v>381.55743422692029</v>
      </c>
      <c r="AO32" s="59">
        <f t="shared" si="36"/>
        <v>360.34132229290537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</v>
      </c>
      <c r="BD32" s="12">
        <f>IF('Données projet'!$A$88&gt;35,BD31+BC32-BL31,IF(A32&lt;'Données projet'!$A$88,$BA$205^A32,IF(A32='Données projet'!$A$88,'Données projet'!$B$88,BD31+BC32-BL31)))</f>
        <v>29</v>
      </c>
      <c r="BE32" s="13">
        <f>BD32*VLOOKUP('Données projet'!$B$11,Paramètres!$A$1:$I$89,3,0)*VLOOKUP('Données projet'!$B$11,Paramètres!$A$1:$I$89,5,0)</f>
        <v>23.524800000000003</v>
      </c>
      <c r="BF32" s="13">
        <f t="shared" si="37"/>
        <v>7.5064117884233559</v>
      </c>
      <c r="BG32" s="20">
        <f t="shared" si="7"/>
        <v>54.046027198170684</v>
      </c>
      <c r="BH32" s="59">
        <f t="shared" si="8"/>
        <v>290.97392452094653</v>
      </c>
      <c r="BI32" s="59">
        <f ca="1">AVERAGE(OFFSET($BH$3,0,0,'Données projet'!$E$11+1,1))-AVERAGE(OFFSET($H$3,0,0,'Données projet'!$E$11+1,1))</f>
        <v>99.41315989132292</v>
      </c>
      <c r="BJ32" s="59">
        <f t="shared" si="38"/>
        <v>111.63051055870588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2.3111111111111109</v>
      </c>
      <c r="N33" s="13">
        <f>IF('Données projet'!$A$36&gt;35,N32+M33-V32,IF(A33&lt;'Données projet'!$A$36,$K$205^A33,IF(A33='Données projet'!$A$36,'Données projet'!$B$36,N32+M33-V32)))</f>
        <v>69.333333333333329</v>
      </c>
      <c r="O33" s="13">
        <f>N33*VLOOKUP('Données projet'!$B$9,Paramètres!$A$1:$I$89,3,0)*VLOOKUP('Données projet'!$B$9,Paramètres!$A$1:$I$89,5,0)</f>
        <v>62.732799999999997</v>
      </c>
      <c r="P33" s="13">
        <f t="shared" si="33"/>
        <v>17.857405361863481</v>
      </c>
      <c r="Q33" s="20">
        <f t="shared" si="2"/>
        <v>140.36127433857891</v>
      </c>
      <c r="R33" s="59">
        <f t="shared" si="0"/>
        <v>379.46869927162089</v>
      </c>
      <c r="S33" s="59">
        <f ca="1">AVERAGE(OFFSET($R$3,0,0,'Données projet'!$E$9+1,1))-AVERAGE(OFFSET($H$3,0,0,'Données projet'!$E$9+1,1))</f>
        <v>474.39725570496114</v>
      </c>
      <c r="T33" s="59">
        <f t="shared" si="34"/>
        <v>196.13536593828755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178</v>
      </c>
      <c r="AG33" s="12">
        <f>VLOOKUP(A33,'Données projet'!$A$61:$I$81,9,0)</f>
        <v>10.8</v>
      </c>
      <c r="AH33" s="12">
        <f t="array" ref="AH33">INDEX(AG:AG,MIN(IF(ISNUMBER(AG33:AG229),ROW(AG33:AG229),"")))</f>
        <v>10.8</v>
      </c>
      <c r="AI33" s="13">
        <f>IF('Données projet'!$A$62&gt;35,AI32+AH33-AQ32,IF(A33&lt;'Données projet'!$A$62,$AF$205^A33,IF(A33='Données projet'!$A$62,'Données projet'!$B$62,AI32+AH33-AQ32)))</f>
        <v>178.00000000000006</v>
      </c>
      <c r="AJ33" s="13">
        <f>AI33*VLOOKUP('Données projet'!$B$10,Paramètres!$A$1:$I$89,3,0)*VLOOKUP('Données projet'!$B$10,Paramètres!$A$1:$I$89,5,0)</f>
        <v>138.84000000000006</v>
      </c>
      <c r="AK33" s="13">
        <f t="shared" si="35"/>
        <v>36.031137240112955</v>
      </c>
      <c r="AL33" s="20">
        <f t="shared" si="4"/>
        <v>304.56723069319679</v>
      </c>
      <c r="AM33" s="59">
        <f t="shared" si="5"/>
        <v>543.67465562623875</v>
      </c>
      <c r="AN33" s="59">
        <f ca="1">AVERAGE(OFFSET($AM$3,0,0,'Données projet'!$E$10+1,1))-AVERAGE(OFFSET($H$3,0,0,'Données projet'!$E$10+1,1))</f>
        <v>381.55743422692029</v>
      </c>
      <c r="AO33" s="59">
        <f t="shared" si="36"/>
        <v>360.34132229290537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</v>
      </c>
      <c r="BD33" s="12">
        <f>IF('Données projet'!$A$88&gt;35,BD32+BC33-BL32,IF(A33&lt;'Données projet'!$A$88,$BA$205^A33,IF(A33='Données projet'!$A$88,'Données projet'!$B$88,BD32+BC33-BL32)))</f>
        <v>30</v>
      </c>
      <c r="BE33" s="13">
        <f>BD33*VLOOKUP('Données projet'!$B$11,Paramètres!$A$1:$I$89,3,0)*VLOOKUP('Données projet'!$B$11,Paramètres!$A$1:$I$89,5,0)</f>
        <v>24.336000000000002</v>
      </c>
      <c r="BF33" s="13">
        <f t="shared" si="37"/>
        <v>7.7346711726299766</v>
      </c>
      <c r="BG33" s="20">
        <f t="shared" si="7"/>
        <v>55.85641895899721</v>
      </c>
      <c r="BH33" s="59">
        <f t="shared" si="8"/>
        <v>294.96384389203922</v>
      </c>
      <c r="BI33" s="59">
        <f ca="1">AVERAGE(OFFSET($BH$3,0,0,'Données projet'!$E$11+1,1))-AVERAGE(OFFSET($H$3,0,0,'Données projet'!$E$11+1,1))</f>
        <v>99.41315989132292</v>
      </c>
      <c r="BJ33" s="59">
        <f t="shared" si="38"/>
        <v>111.63051055870588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2.3111111111111109</v>
      </c>
      <c r="N34" s="13">
        <f>IF('Données projet'!$A$36&gt;35,N33+M34-V33,IF(A34&lt;'Données projet'!$A$36,$K$205^A34,IF(A34='Données projet'!$A$36,'Données projet'!$B$36,N33+M34-V33)))</f>
        <v>71.644444444444446</v>
      </c>
      <c r="O34" s="13">
        <f>N34*VLOOKUP('Données projet'!$B$9,Paramètres!$A$1:$I$89,3,0)*VLOOKUP('Données projet'!$B$9,Paramètres!$A$1:$I$89,5,0)</f>
        <v>64.823893333333331</v>
      </c>
      <c r="P34" s="13">
        <f t="shared" si="33"/>
        <v>18.382357550174284</v>
      </c>
      <c r="Q34" s="20">
        <f t="shared" si="2"/>
        <v>144.91755362210907</v>
      </c>
      <c r="R34" s="59">
        <f t="shared" si="0"/>
        <v>384.96567683492663</v>
      </c>
      <c r="S34" s="59">
        <f ca="1">AVERAGE(OFFSET($R$3,0,0,'Données projet'!$E$9+1,1))-AVERAGE(OFFSET($H$3,0,0,'Données projet'!$E$9+1,1))</f>
        <v>474.39725570496114</v>
      </c>
      <c r="T34" s="59">
        <f t="shared" si="34"/>
        <v>196.13536593828755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11.6</v>
      </c>
      <c r="AI34" s="13">
        <f>IF('Données projet'!$A$62&gt;35,AI33+AH34-AQ33,IF(A34&lt;'Données projet'!$A$62,$AF$205^A34,IF(A34='Données projet'!$A$62,'Données projet'!$B$62,AI33+AH34-AQ33)))</f>
        <v>166.60000000000005</v>
      </c>
      <c r="AJ34" s="13">
        <f>AI34*VLOOKUP('Données projet'!$B$10,Paramètres!$A$1:$I$89,3,0)*VLOOKUP('Données projet'!$B$10,Paramètres!$A$1:$I$89,5,0)</f>
        <v>129.94800000000004</v>
      </c>
      <c r="AK34" s="13">
        <f t="shared" si="35"/>
        <v>33.984343379340828</v>
      </c>
      <c r="AL34" s="20">
        <f t="shared" si="4"/>
        <v>285.51549805235203</v>
      </c>
      <c r="AM34" s="59">
        <f t="shared" si="5"/>
        <v>525.56362126516956</v>
      </c>
      <c r="AN34" s="59">
        <f ca="1">AVERAGE(OFFSET($AM$3,0,0,'Données projet'!$E$10+1,1))-AVERAGE(OFFSET($H$3,0,0,'Données projet'!$E$10+1,1))</f>
        <v>381.55743422692029</v>
      </c>
      <c r="AO34" s="59">
        <f t="shared" si="36"/>
        <v>360.34132229290537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</v>
      </c>
      <c r="BD34" s="12">
        <f>IF('Données projet'!$A$88&gt;35,BD33+BC34-BL33,IF(A34&lt;'Données projet'!$A$88,$BA$205^A34,IF(A34='Données projet'!$A$88,'Données projet'!$B$88,BD33+BC34-BL33)))</f>
        <v>31</v>
      </c>
      <c r="BE34" s="13">
        <f>BD34*VLOOKUP('Données projet'!$B$11,Paramètres!$A$1:$I$89,3,0)*VLOOKUP('Données projet'!$B$11,Paramètres!$A$1:$I$89,5,0)</f>
        <v>25.147200000000002</v>
      </c>
      <c r="BF34" s="13">
        <f t="shared" si="37"/>
        <v>7.9620464533976936</v>
      </c>
      <c r="BG34" s="20">
        <f t="shared" si="7"/>
        <v>57.665270906334314</v>
      </c>
      <c r="BH34" s="59">
        <f t="shared" si="8"/>
        <v>297.71339411915187</v>
      </c>
      <c r="BI34" s="59">
        <f ca="1">AVERAGE(OFFSET($BH$3,0,0,'Données projet'!$E$11+1,1))-AVERAGE(OFFSET($H$3,0,0,'Données projet'!$E$11+1,1))</f>
        <v>99.41315989132292</v>
      </c>
      <c r="BJ34" s="59">
        <f t="shared" si="38"/>
        <v>111.63051055870588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2.3111111111111109</v>
      </c>
      <c r="N35" s="13">
        <f>IF('Données projet'!$A$36&gt;35,N34+M35-V34,IF(A35&lt;'Données projet'!$A$36,$K$205^A35,IF(A35='Données projet'!$A$36,'Données projet'!$B$36,N34+M35-V34)))</f>
        <v>73.955555555555563</v>
      </c>
      <c r="O35" s="13">
        <f>N35*VLOOKUP('Données projet'!$B$9,Paramètres!$A$1:$I$89,3,0)*VLOOKUP('Données projet'!$B$9,Paramètres!$A$1:$I$89,5,0)</f>
        <v>66.914986666666678</v>
      </c>
      <c r="P35" s="13">
        <f t="shared" si="33"/>
        <v>18.905341963114271</v>
      </c>
      <c r="Q35" s="20">
        <f t="shared" ref="Q35:Q66" si="53">(O35+P35)*0.475*44/12</f>
        <v>149.47040569686848</v>
      </c>
      <c r="R35" s="59">
        <f t="shared" si="0"/>
        <v>390.4429081773938</v>
      </c>
      <c r="S35" s="59">
        <f ca="1">AVERAGE(OFFSET($R$3,0,0,'Données projet'!$E$9+1,1))-AVERAGE(OFFSET($H$3,0,0,'Données projet'!$E$9+1,1))</f>
        <v>474.39725570496114</v>
      </c>
      <c r="T35" s="59">
        <f t="shared" si="34"/>
        <v>196.13536593828755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11.6</v>
      </c>
      <c r="AI35" s="13">
        <f>IF('Données projet'!$A$62&gt;35,AI34+AH35-AQ34,IF(A35&lt;'Données projet'!$A$62,$AF$205^A35,IF(A35='Données projet'!$A$62,'Données projet'!$B$62,AI34+AH35-AQ34)))</f>
        <v>178.20000000000005</v>
      </c>
      <c r="AJ35" s="13">
        <f>AI35*VLOOKUP('Données projet'!$B$10,Paramètres!$A$1:$I$89,3,0)*VLOOKUP('Données projet'!$B$10,Paramètres!$A$1:$I$89,5,0)</f>
        <v>138.99600000000004</v>
      </c>
      <c r="AK35" s="13">
        <f t="shared" si="35"/>
        <v>36.066906938767758</v>
      </c>
      <c r="AL35" s="20">
        <f t="shared" si="4"/>
        <v>304.90122958502059</v>
      </c>
      <c r="AM35" s="59">
        <f t="shared" si="5"/>
        <v>545.87373206554594</v>
      </c>
      <c r="AN35" s="59">
        <f ca="1">AVERAGE(OFFSET($AM$3,0,0,'Données projet'!$E$10+1,1))-AVERAGE(OFFSET($H$3,0,0,'Données projet'!$E$10+1,1))</f>
        <v>381.55743422692029</v>
      </c>
      <c r="AO35" s="59">
        <f t="shared" si="36"/>
        <v>360.34132229290537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</v>
      </c>
      <c r="BD35" s="12">
        <f>IF('Données projet'!$A$88&gt;35,BD34+BC35-BL34,IF(A35&lt;'Données projet'!$A$88,$BA$205^A35,IF(A35='Données projet'!$A$88,'Données projet'!$B$88,BD34+BC35-BL34)))</f>
        <v>32</v>
      </c>
      <c r="BE35" s="13">
        <f>BD35*VLOOKUP('Données projet'!$B$11,Paramètres!$A$1:$I$89,3,0)*VLOOKUP('Données projet'!$B$11,Paramètres!$A$1:$I$89,5,0)</f>
        <v>25.958400000000001</v>
      </c>
      <c r="BF35" s="13">
        <f t="shared" si="37"/>
        <v>8.1885694213502802</v>
      </c>
      <c r="BG35" s="20">
        <f t="shared" si="7"/>
        <v>59.472638408851729</v>
      </c>
      <c r="BH35" s="59">
        <f t="shared" si="8"/>
        <v>300.44514088937706</v>
      </c>
      <c r="BI35" s="59">
        <f ca="1">AVERAGE(OFFSET($BH$3,0,0,'Données projet'!$E$11+1,1))-AVERAGE(OFFSET($H$3,0,0,'Données projet'!$E$11+1,1))</f>
        <v>99.41315989132292</v>
      </c>
      <c r="BJ35" s="59">
        <f t="shared" si="38"/>
        <v>111.63051055870588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2.3111111111111109</v>
      </c>
      <c r="N36" s="13">
        <f>IF('Données projet'!$A$36&gt;35,N35+M36-V35,IF(A36&lt;'Données projet'!$A$36,$K$205^A36,IF(A36='Données projet'!$A$36,'Données projet'!$B$36,N35+M36-V35)))</f>
        <v>76.26666666666668</v>
      </c>
      <c r="O36" s="13">
        <f>N36*VLOOKUP('Données projet'!$B$9,Paramètres!$A$1:$I$89,3,0)*VLOOKUP('Données projet'!$B$9,Paramètres!$A$1:$I$89,5,0)</f>
        <v>69.006080000000011</v>
      </c>
      <c r="P36" s="13">
        <f t="shared" si="33"/>
        <v>19.426427149378085</v>
      </c>
      <c r="Q36" s="20">
        <f t="shared" si="53"/>
        <v>154.0199499518335</v>
      </c>
      <c r="R36" s="59">
        <f t="shared" si="0"/>
        <v>395.90079578637426</v>
      </c>
      <c r="S36" s="59">
        <f ca="1">AVERAGE(OFFSET($R$3,0,0,'Données projet'!$E$9+1,1))-AVERAGE(OFFSET($H$3,0,0,'Données projet'!$E$9+1,1))</f>
        <v>474.39725570496114</v>
      </c>
      <c r="T36" s="59">
        <f t="shared" si="34"/>
        <v>196.13536593828755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11.6</v>
      </c>
      <c r="AI36" s="13">
        <f>IF('Données projet'!$A$62&gt;35,AI35+AH36-AQ35,IF(A36&lt;'Données projet'!$A$62,$AF$205^A36,IF(A36='Données projet'!$A$62,'Données projet'!$B$62,AI35+AH36-AQ35)))</f>
        <v>189.80000000000004</v>
      </c>
      <c r="AJ36" s="13">
        <f>AI36*VLOOKUP('Données projet'!$B$10,Paramètres!$A$1:$I$89,3,0)*VLOOKUP('Données projet'!$B$10,Paramètres!$A$1:$I$89,5,0)</f>
        <v>148.04400000000004</v>
      </c>
      <c r="AK36" s="13">
        <f t="shared" si="35"/>
        <v>38.133738604016052</v>
      </c>
      <c r="AL36" s="20">
        <f t="shared" si="4"/>
        <v>324.25956140199474</v>
      </c>
      <c r="AM36" s="59">
        <f t="shared" si="5"/>
        <v>566.14040723653545</v>
      </c>
      <c r="AN36" s="59">
        <f ca="1">AVERAGE(OFFSET($AM$3,0,0,'Données projet'!$E$10+1,1))-AVERAGE(OFFSET($H$3,0,0,'Données projet'!$E$10+1,1))</f>
        <v>381.55743422692029</v>
      </c>
      <c r="AO36" s="59">
        <f t="shared" si="36"/>
        <v>360.34132229290537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</v>
      </c>
      <c r="BD36" s="12">
        <f>IF('Données projet'!$A$88&gt;35,BD35+BC36-BL35,IF(A36&lt;'Données projet'!$A$88,$BA$205^A36,IF(A36='Données projet'!$A$88,'Données projet'!$B$88,BD35+BC36-BL35)))</f>
        <v>33</v>
      </c>
      <c r="BE36" s="13">
        <f>BD36*VLOOKUP('Données projet'!$B$11,Paramètres!$A$1:$I$89,3,0)*VLOOKUP('Données projet'!$B$11,Paramètres!$A$1:$I$89,5,0)</f>
        <v>26.769600000000001</v>
      </c>
      <c r="BF36" s="13">
        <f t="shared" si="37"/>
        <v>8.4142697673415618</v>
      </c>
      <c r="BG36" s="20">
        <f t="shared" si="7"/>
        <v>61.278573178119878</v>
      </c>
      <c r="BH36" s="59">
        <f t="shared" si="8"/>
        <v>303.15941901266063</v>
      </c>
      <c r="BI36" s="59">
        <f ca="1">AVERAGE(OFFSET($BH$3,0,0,'Données projet'!$E$11+1,1))-AVERAGE(OFFSET($H$3,0,0,'Données projet'!$E$11+1,1))</f>
        <v>99.41315989132292</v>
      </c>
      <c r="BJ36" s="59">
        <f t="shared" si="38"/>
        <v>111.63051055870588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2.3111111111111109</v>
      </c>
      <c r="N37" s="13">
        <f>IF('Données projet'!$A$36&gt;35,N36+M37-V36,IF(A37&lt;'Données projet'!$A$36,$K$205^A37,IF(A37='Données projet'!$A$36,'Données projet'!$B$36,N36+M37-V36)))</f>
        <v>78.577777777777797</v>
      </c>
      <c r="O37" s="13">
        <f>N37*VLOOKUP('Données projet'!$B$9,Paramètres!$A$1:$I$89,3,0)*VLOOKUP('Données projet'!$B$9,Paramètres!$A$1:$I$89,5,0)</f>
        <v>71.097173333333345</v>
      </c>
      <c r="P37" s="13">
        <f t="shared" si="33"/>
        <v>19.945677267111513</v>
      </c>
      <c r="Q37" s="20">
        <f t="shared" si="53"/>
        <v>158.56629812910811</v>
      </c>
      <c r="R37" s="59">
        <f t="shared" si="0"/>
        <v>401.33972959122366</v>
      </c>
      <c r="S37" s="59">
        <f ca="1">AVERAGE(OFFSET($R$3,0,0,'Données projet'!$E$9+1,1))-AVERAGE(OFFSET($H$3,0,0,'Données projet'!$E$9+1,1))</f>
        <v>474.39725570496114</v>
      </c>
      <c r="T37" s="59">
        <f t="shared" si="34"/>
        <v>196.13536593828755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11.6</v>
      </c>
      <c r="AI37" s="13">
        <f>IF('Données projet'!$A$62&gt;35,AI36+AH37-AQ36,IF(A37&lt;'Données projet'!$A$62,$AF$205^A37,IF(A37='Données projet'!$A$62,'Données projet'!$B$62,AI36+AH37-AQ36)))</f>
        <v>201.40000000000003</v>
      </c>
      <c r="AJ37" s="13">
        <f>AI37*VLOOKUP('Données projet'!$B$10,Paramètres!$A$1:$I$89,3,0)*VLOOKUP('Données projet'!$B$10,Paramètres!$A$1:$I$89,5,0)</f>
        <v>157.09200000000004</v>
      </c>
      <c r="AK37" s="13">
        <f t="shared" si="35"/>
        <v>40.185909342127296</v>
      </c>
      <c r="AL37" s="20">
        <f t="shared" si="4"/>
        <v>343.59235877087173</v>
      </c>
      <c r="AM37" s="59">
        <f t="shared" si="5"/>
        <v>586.36579023298737</v>
      </c>
      <c r="AN37" s="59">
        <f ca="1">AVERAGE(OFFSET($AM$3,0,0,'Données projet'!$E$10+1,1))-AVERAGE(OFFSET($H$3,0,0,'Données projet'!$E$10+1,1))</f>
        <v>381.55743422692029</v>
      </c>
      <c r="AO37" s="59">
        <f t="shared" si="36"/>
        <v>360.34132229290537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</v>
      </c>
      <c r="BD37" s="12">
        <f>IF('Données projet'!$A$88&gt;35,BD36+BC37-BL36,IF(A37&lt;'Données projet'!$A$88,$BA$205^A37,IF(A37='Données projet'!$A$88,'Données projet'!$B$88,BD36+BC37-BL36)))</f>
        <v>34</v>
      </c>
      <c r="BE37" s="13">
        <f>BD37*VLOOKUP('Données projet'!$B$11,Paramètres!$A$1:$I$89,3,0)*VLOOKUP('Données projet'!$B$11,Paramètres!$A$1:$I$89,5,0)</f>
        <v>27.5808</v>
      </c>
      <c r="BF37" s="13">
        <f t="shared" si="37"/>
        <v>8.6391752805240465</v>
      </c>
      <c r="BG37" s="20">
        <f t="shared" si="7"/>
        <v>63.083123613579382</v>
      </c>
      <c r="BH37" s="59">
        <f t="shared" si="8"/>
        <v>305.85655507569498</v>
      </c>
      <c r="BI37" s="59">
        <f ca="1">AVERAGE(OFFSET($BH$3,0,0,'Données projet'!$E$11+1,1))-AVERAGE(OFFSET($H$3,0,0,'Données projet'!$E$11+1,1))</f>
        <v>99.41315989132292</v>
      </c>
      <c r="BJ37" s="59">
        <f t="shared" si="38"/>
        <v>111.63051055870588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2.3111111111111109</v>
      </c>
      <c r="N38" s="13">
        <f>IF('Données projet'!$A$36&gt;35,N37+M38-V37,IF(A38&lt;'Données projet'!$A$36,$K$205^A38,IF(A38='Données projet'!$A$36,'Données projet'!$B$36,N37+M38-V37)))</f>
        <v>80.888888888888914</v>
      </c>
      <c r="O38" s="13">
        <f>N38*VLOOKUP('Données projet'!$B$9,Paramètres!$A$1:$I$89,3,0)*VLOOKUP('Données projet'!$B$9,Paramètres!$A$1:$I$89,5,0)</f>
        <v>73.188266666666678</v>
      </c>
      <c r="P38" s="13">
        <f t="shared" si="33"/>
        <v>20.463152485891452</v>
      </c>
      <c r="Q38" s="20">
        <f t="shared" si="53"/>
        <v>163.10955502403874</v>
      </c>
      <c r="R38" s="59">
        <f t="shared" si="0"/>
        <v>406.76008774861327</v>
      </c>
      <c r="S38" s="59">
        <f ca="1">AVERAGE(OFFSET($R$3,0,0,'Données projet'!$E$9+1,1))-AVERAGE(OFFSET($H$3,0,0,'Données projet'!$E$9+1,1))</f>
        <v>474.39725570496114</v>
      </c>
      <c r="T38" s="59">
        <f t="shared" si="34"/>
        <v>196.13536593828755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213</v>
      </c>
      <c r="AG38" s="12">
        <f>VLOOKUP(A38,'Données projet'!$A$61:$I$81,9,0)</f>
        <v>11.6</v>
      </c>
      <c r="AH38" s="12">
        <f t="array" ref="AH38">INDEX(AG:AG,MIN(IF(ISNUMBER(AG38:AG234),ROW(AG38:AG234),"")))</f>
        <v>11.6</v>
      </c>
      <c r="AI38" s="13">
        <f>IF('Données projet'!$A$62&gt;35,AI37+AH38-AQ37,IF(A38&lt;'Données projet'!$A$62,$AF$205^A38,IF(A38='Données projet'!$A$62,'Données projet'!$B$62,AI37+AH38-AQ37)))</f>
        <v>213.00000000000003</v>
      </c>
      <c r="AJ38" s="13">
        <f>AI38*VLOOKUP('Données projet'!$B$10,Paramètres!$A$1:$I$89,3,0)*VLOOKUP('Données projet'!$B$10,Paramètres!$A$1:$I$89,5,0)</f>
        <v>166.14000000000001</v>
      </c>
      <c r="AK38" s="13">
        <f t="shared" si="35"/>
        <v>42.224359783104845</v>
      </c>
      <c r="AL38" s="20">
        <f t="shared" si="4"/>
        <v>362.90125995557429</v>
      </c>
      <c r="AM38" s="59">
        <f t="shared" si="5"/>
        <v>606.55179268014876</v>
      </c>
      <c r="AN38" s="59">
        <f ca="1">AVERAGE(OFFSET($AM$3,0,0,'Données projet'!$E$10+1,1))-AVERAGE(OFFSET($H$3,0,0,'Données projet'!$E$10+1,1))</f>
        <v>381.55743422692029</v>
      </c>
      <c r="AO38" s="59">
        <f t="shared" si="36"/>
        <v>360.34132229290537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0.215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5.3550658146377721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5.3550658146377721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</v>
      </c>
      <c r="BD38" s="12">
        <f>IF('Données projet'!$A$88&gt;35,BD37+BC38-BL37,IF(A38&lt;'Données projet'!$A$88,$BA$205^A38,IF(A38='Données projet'!$A$88,'Données projet'!$B$88,BD37+BC38-BL37)))</f>
        <v>35</v>
      </c>
      <c r="BE38" s="13">
        <f>BD38*VLOOKUP('Données projet'!$B$11,Paramètres!$A$1:$I$89,3,0)*VLOOKUP('Données projet'!$B$11,Paramètres!$A$1:$I$89,5,0)</f>
        <v>28.391999999999999</v>
      </c>
      <c r="BF38" s="13">
        <f t="shared" si="37"/>
        <v>8.8633120224605495</v>
      </c>
      <c r="BG38" s="20">
        <f t="shared" si="7"/>
        <v>64.886335105785449</v>
      </c>
      <c r="BH38" s="59">
        <f t="shared" si="8"/>
        <v>308.53686783035994</v>
      </c>
      <c r="BI38" s="59">
        <f ca="1">AVERAGE(OFFSET($BH$3,0,0,'Données projet'!$E$11+1,1))-AVERAGE(OFFSET($H$3,0,0,'Données projet'!$E$11+1,1))</f>
        <v>99.41315989132292</v>
      </c>
      <c r="BJ38" s="59">
        <f t="shared" si="38"/>
        <v>111.63051055870588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2.3111111111111109</v>
      </c>
      <c r="N39" s="13">
        <f>IF('Données projet'!$A$36&gt;35,N38+M39-V38,IF(A39&lt;'Données projet'!$A$36,$K$205^A39,IF(A39='Données projet'!$A$36,'Données projet'!$B$36,N38+M39-V38)))</f>
        <v>83.200000000000031</v>
      </c>
      <c r="O39" s="13">
        <f>N39*VLOOKUP('Données projet'!$B$9,Paramètres!$A$1:$I$89,3,0)*VLOOKUP('Données projet'!$B$9,Paramètres!$A$1:$I$89,5,0)</f>
        <v>75.279360000000025</v>
      </c>
      <c r="P39" s="13">
        <f t="shared" si="33"/>
        <v>20.978909341473841</v>
      </c>
      <c r="Q39" s="20">
        <f t="shared" si="53"/>
        <v>167.64981910306696</v>
      </c>
      <c r="R39" s="59">
        <f t="shared" si="0"/>
        <v>412.16223734410141</v>
      </c>
      <c r="S39" s="59">
        <f ca="1">AVERAGE(OFFSET($R$3,0,0,'Données projet'!$E$9+1,1))-AVERAGE(OFFSET($H$3,0,0,'Données projet'!$E$9+1,1))</f>
        <v>474.39725570496114</v>
      </c>
      <c r="T39" s="59">
        <f t="shared" si="34"/>
        <v>196.13536593828755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195.40000000000003</v>
      </c>
      <c r="AJ39" s="13">
        <f>AI39*VLOOKUP('Données projet'!$B$10,Paramètres!$A$1:$I$89,3,0)*VLOOKUP('Données projet'!$B$10,Paramètres!$A$1:$I$89,5,0)</f>
        <v>152.41200000000003</v>
      </c>
      <c r="AK39" s="13">
        <f t="shared" si="35"/>
        <v>39.126211343688098</v>
      </c>
      <c r="AL39" s="20">
        <f t="shared" si="4"/>
        <v>333.59571809025681</v>
      </c>
      <c r="AM39" s="59">
        <f t="shared" si="5"/>
        <v>578.10813633129123</v>
      </c>
      <c r="AN39" s="59">
        <f ca="1">AVERAGE(OFFSET($AM$3,0,0,'Données projet'!$E$10+1,1))-AVERAGE(OFFSET($H$3,0,0,'Données projet'!$E$10+1,1))</f>
        <v>381.55743422692029</v>
      </c>
      <c r="AO39" s="59">
        <f t="shared" si="36"/>
        <v>360.34132229290537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5.2086312583258305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5.2086312583258305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</v>
      </c>
      <c r="BD39" s="12">
        <f>IF('Données projet'!$A$88&gt;35,BD38+BC39-BL38,IF(A39&lt;'Données projet'!$A$88,$BA$205^A39,IF(A39='Données projet'!$A$88,'Données projet'!$B$88,BD38+BC39-BL38)))</f>
        <v>36</v>
      </c>
      <c r="BE39" s="13">
        <f>BD39*VLOOKUP('Données projet'!$B$11,Paramètres!$A$1:$I$89,3,0)*VLOOKUP('Données projet'!$B$11,Paramètres!$A$1:$I$89,5,0)</f>
        <v>29.203199999999999</v>
      </c>
      <c r="BF39" s="13">
        <f t="shared" si="37"/>
        <v>9.0867044807780779</v>
      </c>
      <c r="BG39" s="20">
        <f t="shared" si="7"/>
        <v>66.688250304021807</v>
      </c>
      <c r="BH39" s="59">
        <f t="shared" si="8"/>
        <v>311.20066854505626</v>
      </c>
      <c r="BI39" s="59">
        <f ca="1">AVERAGE(OFFSET($BH$3,0,0,'Données projet'!$E$11+1,1))-AVERAGE(OFFSET($H$3,0,0,'Données projet'!$E$11+1,1))</f>
        <v>99.41315989132292</v>
      </c>
      <c r="BJ39" s="59">
        <f t="shared" si="38"/>
        <v>111.63051055870588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2.3111111111111109</v>
      </c>
      <c r="N40" s="13">
        <f>IF('Données projet'!$A$36&gt;35,N39+M40-V39,IF(A40&lt;'Données projet'!$A$36,$K$205^A40,IF(A40='Données projet'!$A$36,'Données projet'!$B$36,N39+M40-V39)))</f>
        <v>85.511111111111148</v>
      </c>
      <c r="O40" s="13">
        <f>N40*VLOOKUP('Données projet'!$B$9,Paramètres!$A$1:$I$89,3,0)*VLOOKUP('Données projet'!$B$9,Paramètres!$A$1:$I$89,5,0)</f>
        <v>77.370453333333373</v>
      </c>
      <c r="P40" s="13">
        <f t="shared" si="33"/>
        <v>21.493001050017163</v>
      </c>
      <c r="Q40" s="20">
        <f t="shared" si="53"/>
        <v>172.18718305100217</v>
      </c>
      <c r="R40" s="59">
        <f t="shared" si="0"/>
        <v>417.54653502167326</v>
      </c>
      <c r="S40" s="59">
        <f ca="1">AVERAGE(OFFSET($R$3,0,0,'Données projet'!$E$9+1,1))-AVERAGE(OFFSET($H$3,0,0,'Données projet'!$E$9+1,1))</f>
        <v>474.39725570496114</v>
      </c>
      <c r="T40" s="59">
        <f t="shared" si="34"/>
        <v>196.13536593828755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206.80000000000004</v>
      </c>
      <c r="AJ40" s="13">
        <f>AI40*VLOOKUP('Données projet'!$B$10,Paramètres!$A$1:$I$89,3,0)*VLOOKUP('Données projet'!$B$10,Paramètres!$A$1:$I$89,5,0)</f>
        <v>161.30400000000003</v>
      </c>
      <c r="AK40" s="13">
        <f t="shared" si="35"/>
        <v>41.136497157560399</v>
      </c>
      <c r="AL40" s="20">
        <f t="shared" si="4"/>
        <v>352.58386588275107</v>
      </c>
      <c r="AM40" s="59">
        <f t="shared" si="5"/>
        <v>597.9432178534222</v>
      </c>
      <c r="AN40" s="59">
        <f ca="1">AVERAGE(OFFSET($AM$3,0,0,'Données projet'!$E$10+1,1))-AVERAGE(OFFSET($H$3,0,0,'Données projet'!$E$10+1,1))</f>
        <v>381.55743422692029</v>
      </c>
      <c r="AO40" s="59">
        <f t="shared" si="36"/>
        <v>360.34132229290537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5.0662009626568976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5.0662009626568976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</v>
      </c>
      <c r="BD40" s="12">
        <f>IF('Données projet'!$A$88&gt;35,BD39+BC40-BL39,IF(A40&lt;'Données projet'!$A$88,$BA$205^A40,IF(A40='Données projet'!$A$88,'Données projet'!$B$88,BD39+BC40-BL39)))</f>
        <v>37</v>
      </c>
      <c r="BE40" s="13">
        <f>BD40*VLOOKUP('Données projet'!$B$11,Paramètres!$A$1:$I$89,3,0)*VLOOKUP('Données projet'!$B$11,Paramètres!$A$1:$I$89,5,0)</f>
        <v>30.014400000000006</v>
      </c>
      <c r="BF40" s="13">
        <f t="shared" si="37"/>
        <v>9.309375705269078</v>
      </c>
      <c r="BG40" s="20">
        <f t="shared" si="7"/>
        <v>68.488909353343658</v>
      </c>
      <c r="BH40" s="59">
        <f t="shared" si="8"/>
        <v>313.84826132401474</v>
      </c>
      <c r="BI40" s="59">
        <f ca="1">AVERAGE(OFFSET($BH$3,0,0,'Données projet'!$E$11+1,1))-AVERAGE(OFFSET($H$3,0,0,'Données projet'!$E$11+1,1))</f>
        <v>99.41315989132292</v>
      </c>
      <c r="BJ40" s="59">
        <f t="shared" si="38"/>
        <v>111.63051055870588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2.3111111111111109</v>
      </c>
      <c r="N41" s="13">
        <f>IF('Données projet'!$A$36&gt;35,N40+M41-V40,IF(A41&lt;'Données projet'!$A$36,$K$205^A41,IF(A41='Données projet'!$A$36,'Données projet'!$B$36,N40+M41-V40)))</f>
        <v>87.822222222222265</v>
      </c>
      <c r="O41" s="13">
        <f>N41*VLOOKUP('Données projet'!$B$9,Paramètres!$A$1:$I$89,3,0)*VLOOKUP('Données projet'!$B$9,Paramètres!$A$1:$I$89,5,0)</f>
        <v>79.461546666666706</v>
      </c>
      <c r="P41" s="13">
        <f t="shared" si="33"/>
        <v>22.00547778738062</v>
      </c>
      <c r="Q41" s="20">
        <f t="shared" si="53"/>
        <v>176.72173425746576</v>
      </c>
      <c r="R41" s="59">
        <f t="shared" si="0"/>
        <v>422.91332755102451</v>
      </c>
      <c r="S41" s="59">
        <f ca="1">AVERAGE(OFFSET($R$3,0,0,'Données projet'!$E$9+1,1))-AVERAGE(OFFSET($H$3,0,0,'Données projet'!$E$9+1,1))</f>
        <v>474.39725570496114</v>
      </c>
      <c r="T41" s="59">
        <f t="shared" si="34"/>
        <v>196.13536593828755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218.20000000000005</v>
      </c>
      <c r="AJ41" s="13">
        <f>AI41*VLOOKUP('Données projet'!$B$10,Paramètres!$A$1:$I$89,3,0)*VLOOKUP('Données projet'!$B$10,Paramètres!$A$1:$I$89,5,0)</f>
        <v>170.19600000000005</v>
      </c>
      <c r="AK41" s="13">
        <f t="shared" si="35"/>
        <v>43.13391812093576</v>
      </c>
      <c r="AL41" s="20">
        <f t="shared" si="4"/>
        <v>371.54960739396319</v>
      </c>
      <c r="AM41" s="59">
        <f t="shared" si="5"/>
        <v>617.74120068752188</v>
      </c>
      <c r="AN41" s="59">
        <f ca="1">AVERAGE(OFFSET($AM$3,0,0,'Données projet'!$E$10+1,1))-AVERAGE(OFFSET($H$3,0,0,'Données projet'!$E$10+1,1))</f>
        <v>381.55743422692029</v>
      </c>
      <c r="AO41" s="59">
        <f t="shared" si="36"/>
        <v>360.34132229290537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4.9276654309131152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4.9276654309131152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</v>
      </c>
      <c r="BD41" s="12">
        <f>IF('Données projet'!$A$88&gt;35,BD40+BC41-BL40,IF(A41&lt;'Données projet'!$A$88,$BA$205^A41,IF(A41='Données projet'!$A$88,'Données projet'!$B$88,BD40+BC41-BL40)))</f>
        <v>38</v>
      </c>
      <c r="BE41" s="13">
        <f>BD41*VLOOKUP('Données projet'!$B$11,Paramètres!$A$1:$I$89,3,0)*VLOOKUP('Données projet'!$B$11,Paramètres!$A$1:$I$89,5,0)</f>
        <v>30.825600000000005</v>
      </c>
      <c r="BF41" s="13">
        <f t="shared" si="37"/>
        <v>9.5313474288652582</v>
      </c>
      <c r="BG41" s="20">
        <f t="shared" si="7"/>
        <v>70.288350105273665</v>
      </c>
      <c r="BH41" s="59">
        <f t="shared" si="8"/>
        <v>316.4799433988324</v>
      </c>
      <c r="BI41" s="59">
        <f ca="1">AVERAGE(OFFSET($BH$3,0,0,'Données projet'!$E$11+1,1))-AVERAGE(OFFSET($H$3,0,0,'Données projet'!$E$11+1,1))</f>
        <v>99.41315989132292</v>
      </c>
      <c r="BJ41" s="59">
        <f t="shared" si="38"/>
        <v>111.63051055870588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2.3111111111111109</v>
      </c>
      <c r="N42" s="13">
        <f>IF('Données projet'!$A$36&gt;35,N41+M42-V41,IF(A42&lt;'Données projet'!$A$36,$K$205^A42,IF(A42='Données projet'!$A$36,'Données projet'!$B$36,N41+M42-V41)))</f>
        <v>90.133333333333383</v>
      </c>
      <c r="O42" s="13">
        <f>N42*VLOOKUP('Données projet'!$B$9,Paramètres!$A$1:$I$89,3,0)*VLOOKUP('Données projet'!$B$9,Paramètres!$A$1:$I$89,5,0)</f>
        <v>81.552640000000039</v>
      </c>
      <c r="P42" s="13">
        <f t="shared" si="33"/>
        <v>22.516386938195179</v>
      </c>
      <c r="Q42" s="20">
        <f t="shared" si="53"/>
        <v>181.25355525069003</v>
      </c>
      <c r="R42" s="59">
        <f t="shared" si="0"/>
        <v>428.26295234079714</v>
      </c>
      <c r="S42" s="59">
        <f ca="1">AVERAGE(OFFSET($R$3,0,0,'Données projet'!$E$9+1,1))-AVERAGE(OFFSET($H$3,0,0,'Données projet'!$E$9+1,1))</f>
        <v>474.39725570496114</v>
      </c>
      <c r="T42" s="59">
        <f t="shared" si="34"/>
        <v>196.13536593828755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229.60000000000005</v>
      </c>
      <c r="AJ42" s="13">
        <f>AI42*VLOOKUP('Données projet'!$B$10,Paramètres!$A$1:$I$89,3,0)*VLOOKUP('Données projet'!$B$10,Paramètres!$A$1:$I$89,5,0)</f>
        <v>179.08800000000005</v>
      </c>
      <c r="AK42" s="13">
        <f t="shared" si="35"/>
        <v>45.119223023956835</v>
      </c>
      <c r="AL42" s="20">
        <f t="shared" si="4"/>
        <v>390.49424676672493</v>
      </c>
      <c r="AM42" s="59">
        <f t="shared" si="5"/>
        <v>637.50364385683201</v>
      </c>
      <c r="AN42" s="59">
        <f ca="1">AVERAGE(OFFSET($AM$3,0,0,'Données projet'!$E$10+1,1))-AVERAGE(OFFSET($H$3,0,0,'Données projet'!$E$10+1,1))</f>
        <v>381.55743422692029</v>
      </c>
      <c r="AO42" s="59">
        <f t="shared" si="36"/>
        <v>360.34132229290537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4.7929181605701334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4.7929181605701334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</v>
      </c>
      <c r="BD42" s="12">
        <f>IF('Données projet'!$A$88&gt;35,BD41+BC42-BL41,IF(A42&lt;'Données projet'!$A$88,$BA$205^A42,IF(A42='Données projet'!$A$88,'Données projet'!$B$88,BD41+BC42-BL41)))</f>
        <v>39</v>
      </c>
      <c r="BE42" s="13">
        <f>BD42*VLOOKUP('Données projet'!$B$11,Paramètres!$A$1:$I$89,3,0)*VLOOKUP('Données projet'!$B$11,Paramètres!$A$1:$I$89,5,0)</f>
        <v>31.636800000000004</v>
      </c>
      <c r="BF42" s="13">
        <f t="shared" si="37"/>
        <v>9.7526401755191241</v>
      </c>
      <c r="BG42" s="20">
        <f t="shared" si="7"/>
        <v>72.086608305695805</v>
      </c>
      <c r="BH42" s="59">
        <f t="shared" si="8"/>
        <v>319.09600539580293</v>
      </c>
      <c r="BI42" s="59">
        <f ca="1">AVERAGE(OFFSET($BH$3,0,0,'Données projet'!$E$11+1,1))-AVERAGE(OFFSET($H$3,0,0,'Données projet'!$E$11+1,1))</f>
        <v>99.41315989132292</v>
      </c>
      <c r="BJ42" s="59">
        <f t="shared" si="38"/>
        <v>111.63051055870588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2.3111111111111109</v>
      </c>
      <c r="N43" s="13">
        <f>IF('Données projet'!$A$36&gt;35,N42+M43-V42,IF(A43&lt;'Données projet'!$A$36,$K$205^A43,IF(A43='Données projet'!$A$36,'Données projet'!$B$36,N42+M43-V42)))</f>
        <v>92.4444444444445</v>
      </c>
      <c r="O43" s="13">
        <f>N43*VLOOKUP('Données projet'!$B$9,Paramètres!$A$1:$I$89,3,0)*VLOOKUP('Données projet'!$B$9,Paramètres!$A$1:$I$89,5,0)</f>
        <v>83.643733333333373</v>
      </c>
      <c r="P43" s="13">
        <f t="shared" si="33"/>
        <v>23.025773318670392</v>
      </c>
      <c r="Q43" s="20">
        <f t="shared" si="53"/>
        <v>185.78272408557322</v>
      </c>
      <c r="R43" s="59">
        <f t="shared" si="0"/>
        <v>433.59573790469403</v>
      </c>
      <c r="S43" s="59">
        <f ca="1">AVERAGE(OFFSET($R$3,0,0,'Données projet'!$E$9+1,1))-AVERAGE(OFFSET($H$3,0,0,'Données projet'!$E$9+1,1))</f>
        <v>474.39725570496114</v>
      </c>
      <c r="T43" s="59">
        <f t="shared" si="34"/>
        <v>196.13536593828755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241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241.00000000000006</v>
      </c>
      <c r="AJ43" s="13">
        <f>AI43*VLOOKUP('Données projet'!$B$10,Paramètres!$A$1:$I$89,3,0)*VLOOKUP('Données projet'!$B$10,Paramètres!$A$1:$I$89,5,0)</f>
        <v>187.98000000000005</v>
      </c>
      <c r="AK43" s="13">
        <f t="shared" si="35"/>
        <v>47.093082099012364</v>
      </c>
      <c r="AL43" s="20">
        <f t="shared" si="4"/>
        <v>409.41895132244662</v>
      </c>
      <c r="AM43" s="59">
        <f t="shared" si="5"/>
        <v>657.23196514156746</v>
      </c>
      <c r="AN43" s="59">
        <f ca="1">AVERAGE(OFFSET($AM$3,0,0,'Données projet'!$E$10+1,1))-AVERAGE(OFFSET($H$3,0,0,'Données projet'!$E$10+1,1))</f>
        <v>381.55743422692029</v>
      </c>
      <c r="AO43" s="59">
        <f t="shared" si="36"/>
        <v>360.34132229290537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32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0.215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10.570893701710688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10.570893701710688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</v>
      </c>
      <c r="BD43" s="12">
        <f>IF('Données projet'!$A$88&gt;35,BD42+BC43-BL42,IF(A43&lt;'Données projet'!$A$88,$BA$205^A43,IF(A43='Données projet'!$A$88,'Données projet'!$B$88,BD42+BC43-BL42)))</f>
        <v>40</v>
      </c>
      <c r="BE43" s="13">
        <f>BD43*VLOOKUP('Données projet'!$B$11,Paramètres!$A$1:$I$89,3,0)*VLOOKUP('Données projet'!$B$11,Paramètres!$A$1:$I$89,5,0)</f>
        <v>32.448</v>
      </c>
      <c r="BF43" s="13">
        <f t="shared" si="37"/>
        <v>9.9732733567093899</v>
      </c>
      <c r="BG43" s="20">
        <f t="shared" si="7"/>
        <v>73.883717762935518</v>
      </c>
      <c r="BH43" s="59">
        <f t="shared" si="8"/>
        <v>321.69673158205632</v>
      </c>
      <c r="BI43" s="59">
        <f ca="1">AVERAGE(OFFSET($BH$3,0,0,'Données projet'!$E$11+1,1))-AVERAGE(OFFSET($H$3,0,0,'Données projet'!$E$11+1,1))</f>
        <v>99.41315989132292</v>
      </c>
      <c r="BJ43" s="59">
        <f t="shared" si="38"/>
        <v>111.63051055870588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2.3111111111111109</v>
      </c>
      <c r="N44" s="13">
        <f>IF('Données projet'!$A$36&gt;35,N43+M44-V43,IF(A44&lt;'Données projet'!$A$36,$K$205^A44,IF(A44='Données projet'!$A$36,'Données projet'!$B$36,N43+M44-V43)))</f>
        <v>94.755555555555617</v>
      </c>
      <c r="O44" s="13">
        <f>N44*VLOOKUP('Données projet'!$B$9,Paramètres!$A$1:$I$89,3,0)*VLOOKUP('Données projet'!$B$9,Paramètres!$A$1:$I$89,5,0)</f>
        <v>85.73482666666672</v>
      </c>
      <c r="P44" s="13">
        <f t="shared" si="33"/>
        <v>23.533679376493186</v>
      </c>
      <c r="Q44" s="20">
        <f t="shared" si="53"/>
        <v>190.30931469183682</v>
      </c>
      <c r="R44" s="59">
        <f t="shared" si="0"/>
        <v>438.91200428634079</v>
      </c>
      <c r="S44" s="59">
        <f ca="1">AVERAGE(OFFSET($R$3,0,0,'Données projet'!$E$9+1,1))-AVERAGE(OFFSET($H$3,0,0,'Données projet'!$E$9+1,1))</f>
        <v>474.39725570496114</v>
      </c>
      <c r="T44" s="59">
        <f t="shared" si="34"/>
        <v>196.13536593828755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10.8</v>
      </c>
      <c r="AI44" s="13">
        <f>IF('Données projet'!$A$62&gt;35,AI43+AH44-AQ43,IF(A44&lt;'Données projet'!$A$62,$AF$205^A44,IF(A44='Données projet'!$A$62,'Données projet'!$B$62,AI43+AH44-AQ43)))</f>
        <v>219.80000000000007</v>
      </c>
      <c r="AJ44" s="13">
        <f>AI44*VLOOKUP('Données projet'!$B$10,Paramètres!$A$1:$I$89,3,0)*VLOOKUP('Données projet'!$B$10,Paramètres!$A$1:$I$89,5,0)</f>
        <v>171.44400000000005</v>
      </c>
      <c r="AK44" s="13">
        <f t="shared" si="35"/>
        <v>43.413272173627242</v>
      </c>
      <c r="AL44" s="20">
        <f t="shared" si="4"/>
        <v>374.20974903573415</v>
      </c>
      <c r="AM44" s="59">
        <f t="shared" si="5"/>
        <v>622.81243863023815</v>
      </c>
      <c r="AN44" s="59">
        <f ca="1">AVERAGE(OFFSET($AM$3,0,0,'Données projet'!$E$10+1,1))-AVERAGE(OFFSET($H$3,0,0,'Données projet'!$E$10+1,1))</f>
        <v>381.55743422692029</v>
      </c>
      <c r="AO44" s="59">
        <f t="shared" si="36"/>
        <v>360.34132229290537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10.281832057538269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10.281832057538269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</v>
      </c>
      <c r="BD44" s="12">
        <f>IF('Données projet'!$A$88&gt;35,BD43+BC44-BL43,IF(A44&lt;'Données projet'!$A$88,$BA$205^A44,IF(A44='Données projet'!$A$88,'Données projet'!$B$88,BD43+BC44-BL43)))</f>
        <v>41</v>
      </c>
      <c r="BE44" s="13">
        <f>BD44*VLOOKUP('Données projet'!$B$11,Paramètres!$A$1:$I$89,3,0)*VLOOKUP('Données projet'!$B$11,Paramètres!$A$1:$I$89,5,0)</f>
        <v>33.2592</v>
      </c>
      <c r="BF44" s="13">
        <f t="shared" si="37"/>
        <v>10.193265358024187</v>
      </c>
      <c r="BG44" s="20">
        <f t="shared" si="7"/>
        <v>75.679710498558791</v>
      </c>
      <c r="BH44" s="59">
        <f t="shared" si="8"/>
        <v>324.28240009306273</v>
      </c>
      <c r="BI44" s="59">
        <f ca="1">AVERAGE(OFFSET($BH$3,0,0,'Données projet'!$E$11+1,1))-AVERAGE(OFFSET($H$3,0,0,'Données projet'!$E$11+1,1))</f>
        <v>99.41315989132292</v>
      </c>
      <c r="BJ44" s="59">
        <f t="shared" si="38"/>
        <v>111.63051055870588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2.3111111111111109</v>
      </c>
      <c r="N45" s="13">
        <f>IF('Données projet'!$A$36&gt;35,N44+M45-V44,IF(A45&lt;'Données projet'!$A$36,$K$205^A45,IF(A45='Données projet'!$A$36,'Données projet'!$B$36,N44+M45-V44)))</f>
        <v>97.066666666666734</v>
      </c>
      <c r="O45" s="13">
        <f>N45*VLOOKUP('Données projet'!$B$9,Paramètres!$A$1:$I$89,3,0)*VLOOKUP('Données projet'!$B$9,Paramètres!$A$1:$I$89,5,0)</f>
        <v>87.825920000000067</v>
      </c>
      <c r="P45" s="13">
        <f t="shared" si="33"/>
        <v>24.040145370675134</v>
      </c>
      <c r="Q45" s="20">
        <f t="shared" si="53"/>
        <v>194.83339718725929</v>
      </c>
      <c r="R45" s="59">
        <f t="shared" si="0"/>
        <v>444.21206344789402</v>
      </c>
      <c r="S45" s="59">
        <f ca="1">AVERAGE(OFFSET($R$3,0,0,'Données projet'!$E$9+1,1))-AVERAGE(OFFSET($H$3,0,0,'Données projet'!$E$9+1,1))</f>
        <v>474.39725570496114</v>
      </c>
      <c r="T45" s="59">
        <f t="shared" si="34"/>
        <v>196.13536593828755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10.8</v>
      </c>
      <c r="AI45" s="13">
        <f>IF('Données projet'!$A$62&gt;35,AI44+AH45-AQ44,IF(A45&lt;'Données projet'!$A$62,$AF$205^A45,IF(A45='Données projet'!$A$62,'Données projet'!$B$62,AI44+AH45-AQ44)))</f>
        <v>230.60000000000008</v>
      </c>
      <c r="AJ45" s="13">
        <f>AI45*VLOOKUP('Données projet'!$B$10,Paramètres!$A$1:$I$89,3,0)*VLOOKUP('Données projet'!$B$10,Paramètres!$A$1:$I$89,5,0)</f>
        <v>179.86800000000008</v>
      </c>
      <c r="AK45" s="13">
        <f t="shared" si="35"/>
        <v>45.292817344769716</v>
      </c>
      <c r="AL45" s="20">
        <f t="shared" si="4"/>
        <v>392.15509020880739</v>
      </c>
      <c r="AM45" s="59">
        <f t="shared" si="5"/>
        <v>641.5337564694421</v>
      </c>
      <c r="AN45" s="59">
        <f ca="1">AVERAGE(OFFSET($AM$3,0,0,'Données projet'!$E$10+1,1))-AVERAGE(OFFSET($H$3,0,0,'Données projet'!$E$10+1,1))</f>
        <v>381.55743422692029</v>
      </c>
      <c r="AO45" s="59">
        <f t="shared" si="36"/>
        <v>360.34132229290537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10.000674819226836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10.000674819226836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</v>
      </c>
      <c r="BD45" s="12">
        <f>IF('Données projet'!$A$88&gt;35,BD44+BC45-BL44,IF(A45&lt;'Données projet'!$A$88,$BA$205^A45,IF(A45='Données projet'!$A$88,'Données projet'!$B$88,BD44+BC45-BL44)))</f>
        <v>42</v>
      </c>
      <c r="BE45" s="13">
        <f>BD45*VLOOKUP('Données projet'!$B$11,Paramètres!$A$1:$I$89,3,0)*VLOOKUP('Données projet'!$B$11,Paramètres!$A$1:$I$89,5,0)</f>
        <v>34.070399999999999</v>
      </c>
      <c r="BF45" s="13">
        <f t="shared" si="37"/>
        <v>10.412633617059315</v>
      </c>
      <c r="BG45" s="20">
        <f t="shared" si="7"/>
        <v>77.474616883044959</v>
      </c>
      <c r="BH45" s="59">
        <f t="shared" si="8"/>
        <v>326.85328314367968</v>
      </c>
      <c r="BI45" s="59">
        <f ca="1">AVERAGE(OFFSET($BH$3,0,0,'Données projet'!$E$11+1,1))-AVERAGE(OFFSET($H$3,0,0,'Données projet'!$E$11+1,1))</f>
        <v>99.41315989132292</v>
      </c>
      <c r="BJ45" s="59">
        <f t="shared" si="38"/>
        <v>111.63051055870588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2.3111111111111109</v>
      </c>
      <c r="N46" s="13">
        <f>IF('Données projet'!$A$36&gt;35,N45+M46-V45,IF(A46&lt;'Données projet'!$A$36,$K$205^A46,IF(A46='Données projet'!$A$36,'Données projet'!$B$36,N45+M46-V45)))</f>
        <v>99.377777777777851</v>
      </c>
      <c r="O46" s="13">
        <f>N46*VLOOKUP('Données projet'!$B$9,Paramètres!$A$1:$I$89,3,0)*VLOOKUP('Données projet'!$B$9,Paramètres!$A$1:$I$89,5,0)</f>
        <v>89.917013333333401</v>
      </c>
      <c r="P46" s="13">
        <f t="shared" si="33"/>
        <v>24.54520953378918</v>
      </c>
      <c r="Q46" s="20">
        <f t="shared" si="53"/>
        <v>199.35503816023848</v>
      </c>
      <c r="R46" s="59">
        <f t="shared" si="0"/>
        <v>449.4962196266705</v>
      </c>
      <c r="S46" s="59">
        <f ca="1">AVERAGE(OFFSET($R$3,0,0,'Données projet'!$E$9+1,1))-AVERAGE(OFFSET($H$3,0,0,'Données projet'!$E$9+1,1))</f>
        <v>474.39725570496114</v>
      </c>
      <c r="T46" s="59">
        <f t="shared" si="34"/>
        <v>196.13536593828755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10.8</v>
      </c>
      <c r="AI46" s="13">
        <f>IF('Données projet'!$A$62&gt;35,AI45+AH46-AQ45,IF(A46&lt;'Données projet'!$A$62,$AF$205^A46,IF(A46='Données projet'!$A$62,'Données projet'!$B$62,AI45+AH46-AQ45)))</f>
        <v>241.40000000000009</v>
      </c>
      <c r="AJ46" s="13">
        <f>AI46*VLOOKUP('Données projet'!$B$10,Paramètres!$A$1:$I$89,3,0)*VLOOKUP('Données projet'!$B$10,Paramètres!$A$1:$I$89,5,0)</f>
        <v>188.29200000000009</v>
      </c>
      <c r="AK46" s="13">
        <f t="shared" si="35"/>
        <v>47.162140074549271</v>
      </c>
      <c r="AL46" s="20">
        <f t="shared" si="4"/>
        <v>410.0826272965067</v>
      </c>
      <c r="AM46" s="59">
        <f t="shared" si="5"/>
        <v>660.22380876293869</v>
      </c>
      <c r="AN46" s="59">
        <f ca="1">AVERAGE(OFFSET($AM$3,0,0,'Données projet'!$E$10+1,1))-AVERAGE(OFFSET($H$3,0,0,'Données projet'!$E$10+1,1))</f>
        <v>381.55743422692029</v>
      </c>
      <c r="AO46" s="59">
        <f t="shared" si="36"/>
        <v>360.34132229290537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9.727205840382446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9.727205840382446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</v>
      </c>
      <c r="BD46" s="12">
        <f>IF('Données projet'!$A$88&gt;35,BD45+BC46-BL45,IF(A46&lt;'Données projet'!$A$88,$BA$205^A46,IF(A46='Données projet'!$A$88,'Données projet'!$B$88,BD45+BC46-BL45)))</f>
        <v>43</v>
      </c>
      <c r="BE46" s="13">
        <f>BD46*VLOOKUP('Données projet'!$B$11,Paramètres!$A$1:$I$89,3,0)*VLOOKUP('Données projet'!$B$11,Paramètres!$A$1:$I$89,5,0)</f>
        <v>34.881599999999999</v>
      </c>
      <c r="BF46" s="13">
        <f t="shared" si="37"/>
        <v>10.631394693688584</v>
      </c>
      <c r="BG46" s="20">
        <f t="shared" si="7"/>
        <v>79.268465758174287</v>
      </c>
      <c r="BH46" s="59">
        <f t="shared" si="8"/>
        <v>329.40964722460632</v>
      </c>
      <c r="BI46" s="59">
        <f ca="1">AVERAGE(OFFSET($BH$3,0,0,'Données projet'!$E$11+1,1))-AVERAGE(OFFSET($H$3,0,0,'Données projet'!$E$11+1,1))</f>
        <v>99.41315989132292</v>
      </c>
      <c r="BJ46" s="59">
        <f t="shared" si="38"/>
        <v>111.63051055870588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2.3111111111111109</v>
      </c>
      <c r="N47" s="13">
        <f>IF('Données projet'!$A$36&gt;35,N46+M47-V46,IF(A47&lt;'Données projet'!$A$36,$K$205^A47,IF(A47='Données projet'!$A$36,'Données projet'!$B$36,N46+M47-V46)))</f>
        <v>101.68888888888897</v>
      </c>
      <c r="O47" s="13">
        <f>N47*VLOOKUP('Données projet'!$B$9,Paramètres!$A$1:$I$89,3,0)*VLOOKUP('Données projet'!$B$9,Paramètres!$A$1:$I$89,5,0)</f>
        <v>92.008106666666734</v>
      </c>
      <c r="P47" s="13">
        <f t="shared" si="33"/>
        <v>25.048908218689061</v>
      </c>
      <c r="Q47" s="20">
        <f t="shared" si="53"/>
        <v>203.87430092532801</v>
      </c>
      <c r="R47" s="59">
        <f t="shared" si="0"/>
        <v>454.76476966346547</v>
      </c>
      <c r="S47" s="59">
        <f ca="1">AVERAGE(OFFSET($R$3,0,0,'Données projet'!$E$9+1,1))-AVERAGE(OFFSET($H$3,0,0,'Données projet'!$E$9+1,1))</f>
        <v>474.39725570496114</v>
      </c>
      <c r="T47" s="59">
        <f t="shared" si="34"/>
        <v>196.13536593828755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10.8</v>
      </c>
      <c r="AI47" s="13">
        <f>IF('Données projet'!$A$62&gt;35,AI46+AH47-AQ46,IF(A47&lt;'Données projet'!$A$62,$AF$205^A47,IF(A47='Données projet'!$A$62,'Données projet'!$B$62,AI46+AH47-AQ46)))</f>
        <v>252.2000000000001</v>
      </c>
      <c r="AJ47" s="13">
        <f>AI47*VLOOKUP('Données projet'!$B$10,Paramètres!$A$1:$I$89,3,0)*VLOOKUP('Données projet'!$B$10,Paramètres!$A$1:$I$89,5,0)</f>
        <v>196.71600000000009</v>
      </c>
      <c r="AK47" s="13">
        <f t="shared" si="35"/>
        <v>49.021749959730052</v>
      </c>
      <c r="AL47" s="20">
        <f t="shared" si="4"/>
        <v>427.99324784652998</v>
      </c>
      <c r="AM47" s="59">
        <f t="shared" si="5"/>
        <v>678.88371658466735</v>
      </c>
      <c r="AN47" s="59">
        <f ca="1">AVERAGE(OFFSET($AM$3,0,0,'Données projet'!$E$10+1,1))-AVERAGE(OFFSET($H$3,0,0,'Données projet'!$E$10+1,1))</f>
        <v>381.55743422692029</v>
      </c>
      <c r="AO47" s="59">
        <f t="shared" si="36"/>
        <v>360.34132229290537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9.4612148851456652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9.4612148851456652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</v>
      </c>
      <c r="BD47" s="12">
        <f>IF('Données projet'!$A$88&gt;35,BD46+BC47-BL46,IF(A47&lt;'Données projet'!$A$88,$BA$205^A47,IF(A47='Données projet'!$A$88,'Données projet'!$B$88,BD46+BC47-BL46)))</f>
        <v>44</v>
      </c>
      <c r="BE47" s="13">
        <f>BD47*VLOOKUP('Données projet'!$B$11,Paramètres!$A$1:$I$89,3,0)*VLOOKUP('Données projet'!$B$11,Paramètres!$A$1:$I$89,5,0)</f>
        <v>35.692800000000005</v>
      </c>
      <c r="BF47" s="13">
        <f t="shared" si="37"/>
        <v>10.849564333613264</v>
      </c>
      <c r="BG47" s="20">
        <f t="shared" si="7"/>
        <v>81.061284547709775</v>
      </c>
      <c r="BH47" s="59">
        <f t="shared" si="8"/>
        <v>331.95175328584719</v>
      </c>
      <c r="BI47" s="59">
        <f ca="1">AVERAGE(OFFSET($BH$3,0,0,'Données projet'!$E$11+1,1))-AVERAGE(OFFSET($H$3,0,0,'Données projet'!$E$11+1,1))</f>
        <v>99.41315989132292</v>
      </c>
      <c r="BJ47" s="59">
        <f t="shared" si="38"/>
        <v>111.63051055870588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104</v>
      </c>
      <c r="L48" s="12">
        <f>VLOOKUP(A48,'Données projet'!$A$35:$I$55,9,0)</f>
        <v>2.3111111111111109</v>
      </c>
      <c r="M48" s="12">
        <f t="array" ref="M48">INDEX(L:L,MIN(IF(ISNUMBER(L48:L244),ROW(L48:L244),"")))</f>
        <v>2.3111111111111109</v>
      </c>
      <c r="N48" s="13">
        <f>IF('Données projet'!$A$36&gt;35,N47+M48-V47,IF(A48&lt;'Données projet'!$A$36,$K$205^A48,IF(A48='Données projet'!$A$36,'Données projet'!$B$36,N47+M48-V47)))</f>
        <v>104.00000000000009</v>
      </c>
      <c r="O48" s="13">
        <f>N48*VLOOKUP('Données projet'!$B$9,Paramètres!$A$1:$I$89,3,0)*VLOOKUP('Données projet'!$B$9,Paramètres!$A$1:$I$89,5,0)</f>
        <v>94.099200000000067</v>
      </c>
      <c r="P48" s="13">
        <f t="shared" si="33"/>
        <v>25.551276031514842</v>
      </c>
      <c r="Q48" s="20">
        <f t="shared" si="53"/>
        <v>208.39124575488847</v>
      </c>
      <c r="R48" s="59">
        <f t="shared" si="0"/>
        <v>460.01800330572257</v>
      </c>
      <c r="S48" s="59">
        <f ca="1">AVERAGE(OFFSET($R$3,0,0,'Données projet'!$E$9+1,1))-AVERAGE(OFFSET($H$3,0,0,'Données projet'!$E$9+1,1))</f>
        <v>474.39725570496114</v>
      </c>
      <c r="T48" s="59">
        <f t="shared" si="34"/>
        <v>196.13536593828755</v>
      </c>
      <c r="U48" s="15">
        <f>IF(ISNA(VLOOKUP(A48,'Données projet'!$A$35:$I$55,3,0)),0,VLOOKUP(A48,'Données projet'!$A$35:$I$55,3,0))</f>
        <v>1</v>
      </c>
      <c r="V48" s="15">
        <f>IF(ISNA(VLOOKUP(A48,'Données projet'!$A$35:$I$55,4,0)),0,VLOOKUP(A48,'Données projet'!$A$35:$I$55,4,0))</f>
        <v>40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263</v>
      </c>
      <c r="AG48" s="12">
        <f>VLOOKUP(A48,'Données projet'!$A$61:$I$81,9,0)</f>
        <v>10.8</v>
      </c>
      <c r="AH48" s="12">
        <f t="array" ref="AH48">INDEX(AG:AG,MIN(IF(ISNUMBER(AG48:AG244),ROW(AG48:AG244),"")))</f>
        <v>10.8</v>
      </c>
      <c r="AI48" s="13">
        <f>IF('Données projet'!$A$62&gt;35,AI47+AH48-AQ47,IF(A48&lt;'Données projet'!$A$62,$AF$205^A48,IF(A48='Données projet'!$A$62,'Données projet'!$B$62,AI47+AH48-AQ47)))</f>
        <v>263.00000000000011</v>
      </c>
      <c r="AJ48" s="13">
        <f>AI48*VLOOKUP('Données projet'!$B$10,Paramètres!$A$1:$I$89,3,0)*VLOOKUP('Données projet'!$B$10,Paramètres!$A$1:$I$89,5,0)</f>
        <v>205.1400000000001</v>
      </c>
      <c r="AK48" s="13">
        <f t="shared" si="35"/>
        <v>50.872110483472362</v>
      </c>
      <c r="AL48" s="20">
        <f t="shared" si="4"/>
        <v>445.88775909204782</v>
      </c>
      <c r="AM48" s="59">
        <f t="shared" si="5"/>
        <v>697.51451664288197</v>
      </c>
      <c r="AN48" s="59">
        <f ca="1">AVERAGE(OFFSET($AM$3,0,0,'Données projet'!$E$10+1,1))-AVERAGE(OFFSET($H$3,0,0,'Données projet'!$E$10+1,1))</f>
        <v>381.55743422692029</v>
      </c>
      <c r="AO48" s="59">
        <f t="shared" si="36"/>
        <v>360.34132229290537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36</v>
      </c>
      <c r="AR48" s="16">
        <f>IF(ISNA(VLOOKUP(A48,'Données projet'!$A$61:$I$81,5,0)),0%,VLOOKUP(A48,'Données projet'!$A$61:$I$81,5,0)*VLOOKUP('Données projet'!$B$10,Paramètres!$A$1:$I$89,7,0))</f>
        <v>0.17200000000000001</v>
      </c>
      <c r="AS48" s="16">
        <f>IF(ISNA(VLOOKUP(A48,'Données projet'!$A$61:$I$81,6,0)),0%,VLOOKUP(A48,'Données projet'!$A$61:$I$81,6,0)*VLOOKUP('Données projet'!$B$10,Paramètres!$A$1:$I$89,7,0))</f>
        <v>0.215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5.3391566202530614</v>
      </c>
      <c r="AV48" s="21">
        <f>EXP(-LN(2)/25)*AV47+(1-EXP(-LN(2)/25))/(LN(2)/25)*Calculateur!AQ48*Calculateur!AS48*VLOOKUP('Données projet'!$B$10,Paramètres!$A$1:$I$89,3,0)*0.475*44/12</f>
        <v>15.850165374393891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21.189321994646953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</v>
      </c>
      <c r="BD48" s="12">
        <f>IF('Données projet'!$A$88&gt;35,BD47+BC48-BL47,IF(A48&lt;'Données projet'!$A$88,$BA$205^A48,IF(A48='Données projet'!$A$88,'Données projet'!$B$88,BD47+BC48-BL47)))</f>
        <v>45</v>
      </c>
      <c r="BE48" s="13">
        <f>BD48*VLOOKUP('Données projet'!$B$11,Paramètres!$A$1:$I$89,3,0)*VLOOKUP('Données projet'!$B$11,Paramètres!$A$1:$I$89,5,0)</f>
        <v>36.504000000000005</v>
      </c>
      <c r="BF48" s="13">
        <f t="shared" si="37"/>
        <v>11.067157525971377</v>
      </c>
      <c r="BG48" s="20">
        <f t="shared" si="7"/>
        <v>82.853099357733484</v>
      </c>
      <c r="BH48" s="59">
        <f t="shared" si="8"/>
        <v>334.47985690856763</v>
      </c>
      <c r="BI48" s="59">
        <f ca="1">AVERAGE(OFFSET($BH$3,0,0,'Données projet'!$E$11+1,1))-AVERAGE(OFFSET($H$3,0,0,'Données projet'!$E$11+1,1))</f>
        <v>99.41315989132292</v>
      </c>
      <c r="BJ48" s="59">
        <f t="shared" si="38"/>
        <v>111.63051055870588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8.375</v>
      </c>
      <c r="N49" s="13">
        <f>IF('Données projet'!$A$36&gt;35,N48+M49-V48,IF(A49&lt;'Données projet'!$A$36,$K$205^A49,IF(A49='Données projet'!$A$36,'Données projet'!$B$36,N48+M49-V48)))</f>
        <v>72.375000000000085</v>
      </c>
      <c r="O49" s="13">
        <f>N49*VLOOKUP('Données projet'!$B$9,Paramètres!$A$1:$I$89,3,0)*VLOOKUP('Données projet'!$B$9,Paramètres!$A$1:$I$89,5,0)</f>
        <v>65.484900000000081</v>
      </c>
      <c r="P49" s="13">
        <f t="shared" si="33"/>
        <v>18.547885297154718</v>
      </c>
      <c r="Q49" s="20">
        <f t="shared" si="53"/>
        <v>146.35710105921126</v>
      </c>
      <c r="R49" s="59">
        <f t="shared" si="0"/>
        <v>398.70737445793691</v>
      </c>
      <c r="S49" s="59">
        <f ca="1">AVERAGE(OFFSET($R$3,0,0,'Données projet'!$E$9+1,1))-AVERAGE(OFFSET($H$3,0,0,'Données projet'!$E$9+1,1))</f>
        <v>474.39725570496114</v>
      </c>
      <c r="T49" s="59">
        <f t="shared" si="34"/>
        <v>196.13536593828755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238.2000000000001</v>
      </c>
      <c r="AJ49" s="13">
        <f>AI49*VLOOKUP('Données projet'!$B$10,Paramètres!$A$1:$I$89,3,0)*VLOOKUP('Données projet'!$B$10,Paramètres!$A$1:$I$89,5,0)</f>
        <v>185.79600000000008</v>
      </c>
      <c r="AK49" s="13">
        <f t="shared" si="35"/>
        <v>46.60930127448345</v>
      </c>
      <c r="AL49" s="20">
        <f t="shared" si="4"/>
        <v>404.7725663863921</v>
      </c>
      <c r="AM49" s="59">
        <f t="shared" si="5"/>
        <v>657.12283978511778</v>
      </c>
      <c r="AN49" s="59">
        <f ca="1">AVERAGE(OFFSET($AM$3,0,0,'Données projet'!$E$10+1,1))-AVERAGE(OFFSET($H$3,0,0,'Données projet'!$E$10+1,1))</f>
        <v>381.55743422692029</v>
      </c>
      <c r="AO49" s="59">
        <f t="shared" si="36"/>
        <v>360.34132229290537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5.2344590154938784</v>
      </c>
      <c r="AV49" s="21">
        <f>EXP(-LN(2)/25)*AV48+(1-EXP(-LN(2)/25))/(LN(2)/25)*Calculateur!AQ49*Calculateur!AS49*VLOOKUP('Données projet'!$B$10,Paramètres!$A$1:$I$89,3,0)*0.475*44/12</f>
        <v>15.416741768707119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20.651200784200999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</v>
      </c>
      <c r="BD49" s="12">
        <f>IF('Données projet'!$A$88&gt;35,BD48+BC49-BL48,IF(A49&lt;'Données projet'!$A$88,$BA$205^A49,IF(A49='Données projet'!$A$88,'Données projet'!$B$88,BD48+BC49-BL48)))</f>
        <v>46</v>
      </c>
      <c r="BE49" s="13">
        <f>BD49*VLOOKUP('Données projet'!$B$11,Paramètres!$A$1:$I$89,3,0)*VLOOKUP('Données projet'!$B$11,Paramètres!$A$1:$I$89,5,0)</f>
        <v>37.315200000000004</v>
      </c>
      <c r="BF49" s="13">
        <f t="shared" si="37"/>
        <v>11.284188555681865</v>
      </c>
      <c r="BG49" s="20">
        <f t="shared" si="7"/>
        <v>84.643935067812592</v>
      </c>
      <c r="BH49" s="59">
        <f t="shared" si="8"/>
        <v>336.99420846653823</v>
      </c>
      <c r="BI49" s="59">
        <f ca="1">AVERAGE(OFFSET($BH$3,0,0,'Données projet'!$E$11+1,1))-AVERAGE(OFFSET($H$3,0,0,'Données projet'!$E$11+1,1))</f>
        <v>99.41315989132292</v>
      </c>
      <c r="BJ49" s="59">
        <f t="shared" si="38"/>
        <v>111.63051055870588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8.375</v>
      </c>
      <c r="N50" s="13">
        <f>IF('Données projet'!$A$36&gt;35,N49+M50-V49,IF(A50&lt;'Données projet'!$A$36,$K$205^A50,IF(A50='Données projet'!$A$36,'Données projet'!$B$36,N49+M50-V49)))</f>
        <v>80.750000000000085</v>
      </c>
      <c r="O50" s="13">
        <f>N50*VLOOKUP('Données projet'!$B$9,Paramètres!$A$1:$I$89,3,0)*VLOOKUP('Données projet'!$B$9,Paramètres!$A$1:$I$89,5,0)</f>
        <v>73.062600000000074</v>
      </c>
      <c r="P50" s="13">
        <f t="shared" si="33"/>
        <v>20.432103293627691</v>
      </c>
      <c r="Q50" s="20">
        <f t="shared" si="53"/>
        <v>162.83660823640167</v>
      </c>
      <c r="R50" s="59">
        <f t="shared" si="0"/>
        <v>415.89784610059706</v>
      </c>
      <c r="S50" s="59">
        <f ca="1">AVERAGE(OFFSET($R$3,0,0,'Données projet'!$E$9+1,1))-AVERAGE(OFFSET($H$3,0,0,'Données projet'!$E$9+1,1))</f>
        <v>474.39725570496114</v>
      </c>
      <c r="T50" s="59">
        <f t="shared" si="34"/>
        <v>196.13536593828755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249.40000000000009</v>
      </c>
      <c r="AJ50" s="13">
        <f>AI50*VLOOKUP('Données projet'!$B$10,Paramètres!$A$1:$I$89,3,0)*VLOOKUP('Données projet'!$B$10,Paramètres!$A$1:$I$89,5,0)</f>
        <v>194.53200000000007</v>
      </c>
      <c r="AK50" s="13">
        <f t="shared" si="35"/>
        <v>48.540534952652621</v>
      </c>
      <c r="AL50" s="20">
        <f t="shared" si="4"/>
        <v>423.35133170920341</v>
      </c>
      <c r="AM50" s="59">
        <f t="shared" si="5"/>
        <v>676.41256957339874</v>
      </c>
      <c r="AN50" s="59">
        <f ca="1">AVERAGE(OFFSET($AM$3,0,0,'Données projet'!$E$10+1,1))-AVERAGE(OFFSET($H$3,0,0,'Données projet'!$E$10+1,1))</f>
        <v>381.55743422692029</v>
      </c>
      <c r="AO50" s="59">
        <f t="shared" si="36"/>
        <v>360.34132229290537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5.1318144669047898</v>
      </c>
      <c r="AV50" s="21">
        <f>EXP(-LN(2)/25)*AV49+(1-EXP(-LN(2)/25))/(LN(2)/25)*Calculateur!AQ50*Calculateur!AS50*VLOOKUP('Données projet'!$B$10,Paramètres!$A$1:$I$89,3,0)*0.475*44/12</f>
        <v>14.995170154310609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20.126984621215399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</v>
      </c>
      <c r="BD50" s="12">
        <f>IF('Données projet'!$A$88&gt;35,BD49+BC50-BL49,IF(A50&lt;'Données projet'!$A$88,$BA$205^A50,IF(A50='Données projet'!$A$88,'Données projet'!$B$88,BD49+BC50-BL49)))</f>
        <v>47</v>
      </c>
      <c r="BE50" s="13">
        <f>BD50*VLOOKUP('Données projet'!$B$11,Paramètres!$A$1:$I$89,3,0)*VLOOKUP('Données projet'!$B$11,Paramètres!$A$1:$I$89,5,0)</f>
        <v>38.126400000000004</v>
      </c>
      <c r="BF50" s="13">
        <f t="shared" si="37"/>
        <v>11.500671051108634</v>
      </c>
      <c r="BG50" s="20">
        <f t="shared" si="7"/>
        <v>86.433815414014205</v>
      </c>
      <c r="BH50" s="59">
        <f t="shared" si="8"/>
        <v>339.49505327820958</v>
      </c>
      <c r="BI50" s="59">
        <f ca="1">AVERAGE(OFFSET($BH$3,0,0,'Données projet'!$E$11+1,1))-AVERAGE(OFFSET($H$3,0,0,'Données projet'!$E$11+1,1))</f>
        <v>99.41315989132292</v>
      </c>
      <c r="BJ50" s="59">
        <f t="shared" si="38"/>
        <v>111.63051055870588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8.375</v>
      </c>
      <c r="N51" s="13">
        <f>IF('Données projet'!$A$36&gt;35,N50+M51-V50,IF(A51&lt;'Données projet'!$A$36,$K$205^A51,IF(A51='Données projet'!$A$36,'Données projet'!$B$36,N50+M51-V50)))</f>
        <v>89.125000000000085</v>
      </c>
      <c r="O51" s="13">
        <f>N51*VLOOKUP('Données projet'!$B$9,Paramètres!$A$1:$I$89,3,0)*VLOOKUP('Données projet'!$B$9,Paramètres!$A$1:$I$89,5,0)</f>
        <v>80.640300000000067</v>
      </c>
      <c r="P51" s="13">
        <f t="shared" si="33"/>
        <v>22.293668096726446</v>
      </c>
      <c r="Q51" s="20">
        <f t="shared" si="53"/>
        <v>179.27666110179868</v>
      </c>
      <c r="R51" s="59">
        <f t="shared" si="0"/>
        <v>433.03652978746641</v>
      </c>
      <c r="S51" s="59">
        <f ca="1">AVERAGE(OFFSET($R$3,0,0,'Données projet'!$E$9+1,1))-AVERAGE(OFFSET($H$3,0,0,'Données projet'!$E$9+1,1))</f>
        <v>474.39725570496114</v>
      </c>
      <c r="T51" s="59">
        <f t="shared" si="34"/>
        <v>196.13536593828755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260.60000000000008</v>
      </c>
      <c r="AJ51" s="13">
        <f>AI51*VLOOKUP('Données projet'!$B$10,Paramètres!$A$1:$I$89,3,0)*VLOOKUP('Données projet'!$B$10,Paramètres!$A$1:$I$89,5,0)</f>
        <v>203.26800000000006</v>
      </c>
      <c r="AK51" s="13">
        <f t="shared" si="35"/>
        <v>50.461696323746594</v>
      </c>
      <c r="AL51" s="20">
        <f t="shared" si="4"/>
        <v>441.9125544305254</v>
      </c>
      <c r="AM51" s="59">
        <f t="shared" si="5"/>
        <v>695.67242311619316</v>
      </c>
      <c r="AN51" s="59">
        <f ca="1">AVERAGE(OFFSET($AM$3,0,0,'Données projet'!$E$10+1,1))-AVERAGE(OFFSET($H$3,0,0,'Données projet'!$E$10+1,1))</f>
        <v>381.55743422692029</v>
      </c>
      <c r="AO51" s="59">
        <f t="shared" si="36"/>
        <v>360.34132229290537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5.0311827153065405</v>
      </c>
      <c r="AV51" s="21">
        <f>EXP(-LN(2)/25)*AV50+(1-EXP(-LN(2)/25))/(LN(2)/25)*Calculateur!AQ51*Calculateur!AS51*VLOOKUP('Données projet'!$B$10,Paramètres!$A$1:$I$89,3,0)*0.475*44/12</f>
        <v>14.585126437879259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19.616309153185799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</v>
      </c>
      <c r="BD51" s="12">
        <f>IF('Données projet'!$A$88&gt;35,BD50+BC51-BL50,IF(A51&lt;'Données projet'!$A$88,$BA$205^A51,IF(A51='Données projet'!$A$88,'Données projet'!$B$88,BD50+BC51-BL50)))</f>
        <v>48</v>
      </c>
      <c r="BE51" s="13">
        <f>BD51*VLOOKUP('Données projet'!$B$11,Paramètres!$A$1:$I$89,3,0)*VLOOKUP('Données projet'!$B$11,Paramètres!$A$1:$I$89,5,0)</f>
        <v>38.937600000000003</v>
      </c>
      <c r="BF51" s="13">
        <f t="shared" si="37"/>
        <v>11.716618027553634</v>
      </c>
      <c r="BG51" s="20">
        <f t="shared" si="7"/>
        <v>88.222763064655922</v>
      </c>
      <c r="BH51" s="59">
        <f t="shared" si="8"/>
        <v>341.98263175032361</v>
      </c>
      <c r="BI51" s="59">
        <f ca="1">AVERAGE(OFFSET($BH$3,0,0,'Données projet'!$E$11+1,1))-AVERAGE(OFFSET($H$3,0,0,'Données projet'!$E$11+1,1))</f>
        <v>99.41315989132292</v>
      </c>
      <c r="BJ51" s="59">
        <f t="shared" si="38"/>
        <v>111.63051055870588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8.375</v>
      </c>
      <c r="N52" s="13">
        <f>IF('Données projet'!$A$36&gt;35,N51+M52-V51,IF(A52&lt;'Données projet'!$A$36,$K$205^A52,IF(A52='Données projet'!$A$36,'Données projet'!$B$36,N51+M52-V51)))</f>
        <v>97.500000000000085</v>
      </c>
      <c r="O52" s="13">
        <f>N52*VLOOKUP('Données projet'!$B$9,Paramètres!$A$1:$I$89,3,0)*VLOOKUP('Données projet'!$B$9,Paramètres!$A$1:$I$89,5,0)</f>
        <v>88.218000000000075</v>
      </c>
      <c r="P52" s="13">
        <f t="shared" si="33"/>
        <v>24.134950560421608</v>
      </c>
      <c r="Q52" s="20">
        <f t="shared" si="53"/>
        <v>195.68138889273439</v>
      </c>
      <c r="R52" s="59">
        <f t="shared" si="0"/>
        <v>450.12776871702636</v>
      </c>
      <c r="S52" s="59">
        <f ca="1">AVERAGE(OFFSET($R$3,0,0,'Données projet'!$E$9+1,1))-AVERAGE(OFFSET($H$3,0,0,'Données projet'!$E$9+1,1))</f>
        <v>474.39725570496114</v>
      </c>
      <c r="T52" s="59">
        <f t="shared" si="34"/>
        <v>196.13536593828755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271.80000000000007</v>
      </c>
      <c r="AJ52" s="13">
        <f>AI52*VLOOKUP('Données projet'!$B$10,Paramètres!$A$1:$I$89,3,0)*VLOOKUP('Données projet'!$B$10,Paramètres!$A$1:$I$89,5,0)</f>
        <v>212.00400000000005</v>
      </c>
      <c r="AK52" s="13">
        <f t="shared" si="35"/>
        <v>52.373267756879777</v>
      </c>
      <c r="AL52" s="20">
        <f t="shared" si="4"/>
        <v>460.45707467656558</v>
      </c>
      <c r="AM52" s="59">
        <f t="shared" si="5"/>
        <v>714.90345450085761</v>
      </c>
      <c r="AN52" s="59">
        <f ca="1">AVERAGE(OFFSET($AM$3,0,0,'Données projet'!$E$10+1,1))-AVERAGE(OFFSET($H$3,0,0,'Données projet'!$E$10+1,1))</f>
        <v>381.55743422692029</v>
      </c>
      <c r="AO52" s="59">
        <f t="shared" si="36"/>
        <v>360.34132229290537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4.9325242909778249</v>
      </c>
      <c r="AV52" s="21">
        <f>EXP(-LN(2)/25)*AV51+(1-EXP(-LN(2)/25))/(LN(2)/25)*Calculateur!AQ52*Calculateur!AS52*VLOOKUP('Données projet'!$B$10,Paramètres!$A$1:$I$89,3,0)*0.475*44/12</f>
        <v>14.186295388436985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19.118819679414809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</v>
      </c>
      <c r="BD52" s="12">
        <f>IF('Données projet'!$A$88&gt;35,BD51+BC52-BL51,IF(A52&lt;'Données projet'!$A$88,$BA$205^A52,IF(A52='Données projet'!$A$88,'Données projet'!$B$88,BD51+BC52-BL51)))</f>
        <v>49</v>
      </c>
      <c r="BE52" s="13">
        <f>BD52*VLOOKUP('Données projet'!$B$11,Paramètres!$A$1:$I$89,3,0)*VLOOKUP('Données projet'!$B$11,Paramètres!$A$1:$I$89,5,0)</f>
        <v>39.748800000000003</v>
      </c>
      <c r="BF52" s="13">
        <f t="shared" si="37"/>
        <v>11.932041927023215</v>
      </c>
      <c r="BG52" s="20">
        <f t="shared" si="7"/>
        <v>90.010799689565431</v>
      </c>
      <c r="BH52" s="59">
        <f t="shared" si="8"/>
        <v>344.4571795138574</v>
      </c>
      <c r="BI52" s="59">
        <f ca="1">AVERAGE(OFFSET($BH$3,0,0,'Données projet'!$E$11+1,1))-AVERAGE(OFFSET($H$3,0,0,'Données projet'!$E$11+1,1))</f>
        <v>99.41315989132292</v>
      </c>
      <c r="BJ52" s="59">
        <f t="shared" si="38"/>
        <v>111.63051055870588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8.375</v>
      </c>
      <c r="N53" s="13">
        <f>IF('Données projet'!$A$36&gt;35,N52+M53-V52,IF(A53&lt;'Données projet'!$A$36,$K$205^A53,IF(A53='Données projet'!$A$36,'Données projet'!$B$36,N52+M53-V52)))</f>
        <v>105.87500000000009</v>
      </c>
      <c r="O53" s="13">
        <f>N53*VLOOKUP('Données projet'!$B$9,Paramètres!$A$1:$I$89,3,0)*VLOOKUP('Données projet'!$B$9,Paramètres!$A$1:$I$89,5,0)</f>
        <v>95.795700000000082</v>
      </c>
      <c r="P53" s="13">
        <f t="shared" si="33"/>
        <v>25.957890970062589</v>
      </c>
      <c r="Q53" s="20">
        <f t="shared" si="53"/>
        <v>212.05417093952585</v>
      </c>
      <c r="R53" s="59">
        <f t="shared" si="0"/>
        <v>467.17515246899598</v>
      </c>
      <c r="S53" s="59">
        <f ca="1">AVERAGE(OFFSET($R$3,0,0,'Données projet'!$E$9+1,1))-AVERAGE(OFFSET($H$3,0,0,'Données projet'!$E$9+1,1))</f>
        <v>474.39725570496114</v>
      </c>
      <c r="T53" s="59">
        <f t="shared" si="34"/>
        <v>196.13536593828755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283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283.00000000000006</v>
      </c>
      <c r="AJ53" s="13">
        <f>AI53*VLOOKUP('Données projet'!$B$10,Paramètres!$A$1:$I$89,3,0)*VLOOKUP('Données projet'!$B$10,Paramètres!$A$1:$I$89,5,0)</f>
        <v>220.74000000000007</v>
      </c>
      <c r="AK53" s="13">
        <f t="shared" si="35"/>
        <v>54.275689618029304</v>
      </c>
      <c r="AL53" s="20">
        <f t="shared" si="4"/>
        <v>478.98565941806777</v>
      </c>
      <c r="AM53" s="59">
        <f t="shared" si="5"/>
        <v>734.10664094753793</v>
      </c>
      <c r="AN53" s="59">
        <f ca="1">AVERAGE(OFFSET($AM$3,0,0,'Données projet'!$E$10+1,1))-AVERAGE(OFFSET($H$3,0,0,'Données projet'!$E$10+1,1))</f>
        <v>381.55743422692029</v>
      </c>
      <c r="AO53" s="59">
        <f t="shared" si="36"/>
        <v>360.34132229290537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0.17200000000000001</v>
      </c>
      <c r="AS53" s="16">
        <f>IF(ISNA(VLOOKUP(A53,'Données projet'!$A$61:$I$81,6,0)),0%,VLOOKUP(A53,'Données projet'!$A$61:$I$81,6,0)*VLOOKUP('Données projet'!$B$10,Paramètres!$A$1:$I$89,7,0))</f>
        <v>0.215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10.02664721230942</v>
      </c>
      <c r="AV53" s="21">
        <f>EXP(-LN(2)/25)*AV52+(1-EXP(-LN(2)/25))/(LN(2)/25)*Calculateur!AQ53*Calculateur!AS53*VLOOKUP('Données projet'!$B$10,Paramètres!$A$1:$I$89,3,0)*0.475*44/12</f>
        <v>20.261380860957463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30.288028073266883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</v>
      </c>
      <c r="BD53" s="12">
        <f>IF('Données projet'!$A$88&gt;35,BD52+BC53-BL52,IF(A53&lt;'Données projet'!$A$88,$BA$205^A53,IF(A53='Données projet'!$A$88,'Données projet'!$B$88,BD52+BC53-BL52)))</f>
        <v>50</v>
      </c>
      <c r="BE53" s="13">
        <f>BD53*VLOOKUP('Données projet'!$B$11,Paramètres!$A$1:$I$89,3,0)*VLOOKUP('Données projet'!$B$11,Paramètres!$A$1:$I$89,5,0)</f>
        <v>40.56</v>
      </c>
      <c r="BF53" s="13">
        <f t="shared" si="37"/>
        <v>12.146954654656581</v>
      </c>
      <c r="BG53" s="20">
        <f t="shared" si="7"/>
        <v>91.797946023526876</v>
      </c>
      <c r="BH53" s="59">
        <f t="shared" si="8"/>
        <v>346.91892755299699</v>
      </c>
      <c r="BI53" s="59">
        <f ca="1">AVERAGE(OFFSET($BH$3,0,0,'Données projet'!$E$11+1,1))-AVERAGE(OFFSET($H$3,0,0,'Données projet'!$E$11+1,1))</f>
        <v>99.41315989132292</v>
      </c>
      <c r="BJ53" s="59">
        <f t="shared" si="38"/>
        <v>111.63051055870588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8.375</v>
      </c>
      <c r="N54" s="13">
        <f>IF('Données projet'!$A$36&gt;35,N53+M54-V53,IF(A54&lt;'Données projet'!$A$36,$K$205^A54,IF(A54='Données projet'!$A$36,'Données projet'!$B$36,N53+M54-V53)))</f>
        <v>114.25000000000009</v>
      </c>
      <c r="O54" s="13">
        <f>N54*VLOOKUP('Données projet'!$B$9,Paramètres!$A$1:$I$89,3,0)*VLOOKUP('Données projet'!$B$9,Paramètres!$A$1:$I$89,5,0)</f>
        <v>103.37340000000007</v>
      </c>
      <c r="P54" s="13">
        <f t="shared" si="33"/>
        <v>27.76410518904413</v>
      </c>
      <c r="Q54" s="20">
        <f t="shared" si="53"/>
        <v>228.39782153758529</v>
      </c>
      <c r="R54" s="59">
        <f t="shared" si="0"/>
        <v>484.18170194083211</v>
      </c>
      <c r="S54" s="59">
        <f ca="1">AVERAGE(OFFSET($R$3,0,0,'Données projet'!$E$9+1,1))-AVERAGE(OFFSET($H$3,0,0,'Données projet'!$E$9+1,1))</f>
        <v>474.39725570496114</v>
      </c>
      <c r="T54" s="59">
        <f t="shared" si="34"/>
        <v>196.13536593828755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257.80000000000007</v>
      </c>
      <c r="AJ54" s="13">
        <f>AI54*VLOOKUP('Données projet'!$B$10,Paramètres!$A$1:$I$89,3,0)*VLOOKUP('Données projet'!$B$10,Paramètres!$A$1:$I$89,5,0)</f>
        <v>201.08400000000006</v>
      </c>
      <c r="AK54" s="13">
        <f t="shared" si="35"/>
        <v>49.982323118757684</v>
      </c>
      <c r="AL54" s="20">
        <f t="shared" si="4"/>
        <v>437.27384609850304</v>
      </c>
      <c r="AM54" s="59">
        <f t="shared" si="5"/>
        <v>693.05772650174981</v>
      </c>
      <c r="AN54" s="59">
        <f ca="1">AVERAGE(OFFSET($AM$3,0,0,'Données projet'!$E$10+1,1))-AVERAGE(OFFSET($H$3,0,0,'Données projet'!$E$10+1,1))</f>
        <v>381.55743422692029</v>
      </c>
      <c r="AO54" s="59">
        <f t="shared" si="36"/>
        <v>360.34132229290537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9.8300307761269625</v>
      </c>
      <c r="AV54" s="21">
        <f>EXP(-LN(2)/25)*AV53+(1-EXP(-LN(2)/25))/(LN(2)/25)*Calculateur!AQ54*Calculateur!AS54*VLOOKUP('Données projet'!$B$10,Paramètres!$A$1:$I$89,3,0)*0.475*44/12</f>
        <v>19.707332335814868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29.537363111941829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</v>
      </c>
      <c r="BD54" s="12">
        <f>IF('Données projet'!$A$88&gt;35,BD53+BC54-BL53,IF(A54&lt;'Données projet'!$A$88,$BA$205^A54,IF(A54='Données projet'!$A$88,'Données projet'!$B$88,BD53+BC54-BL53)))</f>
        <v>51</v>
      </c>
      <c r="BE54" s="13">
        <f>BD54*VLOOKUP('Données projet'!$B$11,Paramètres!$A$1:$I$89,3,0)*VLOOKUP('Données projet'!$B$11,Paramètres!$A$1:$I$89,5,0)</f>
        <v>41.371200000000002</v>
      </c>
      <c r="BF54" s="13">
        <f t="shared" si="37"/>
        <v>12.361367612157643</v>
      </c>
      <c r="BG54" s="20">
        <f t="shared" si="7"/>
        <v>93.584221924507901</v>
      </c>
      <c r="BH54" s="59">
        <f t="shared" si="8"/>
        <v>349.36810232775474</v>
      </c>
      <c r="BI54" s="59">
        <f ca="1">AVERAGE(OFFSET($BH$3,0,0,'Données projet'!$E$11+1,1))-AVERAGE(OFFSET($H$3,0,0,'Données projet'!$E$11+1,1))</f>
        <v>99.41315989132292</v>
      </c>
      <c r="BJ54" s="59">
        <f t="shared" si="38"/>
        <v>111.63051055870588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8.375</v>
      </c>
      <c r="N55" s="13">
        <f>IF('Données projet'!$A$36&gt;35,N54+M55-V54,IF(A55&lt;'Données projet'!$A$36,$K$205^A55,IF(A55='Données projet'!$A$36,'Données projet'!$B$36,N54+M55-V54)))</f>
        <v>122.62500000000009</v>
      </c>
      <c r="O55" s="13">
        <f>N55*VLOOKUP('Données projet'!$B$9,Paramètres!$A$1:$I$89,3,0)*VLOOKUP('Données projet'!$B$9,Paramètres!$A$1:$I$89,5,0)</f>
        <v>110.95110000000007</v>
      </c>
      <c r="P55" s="13">
        <f t="shared" si="33"/>
        <v>29.554958747563848</v>
      </c>
      <c r="Q55" s="20">
        <f t="shared" si="53"/>
        <v>244.71471898534048</v>
      </c>
      <c r="R55" s="59">
        <f t="shared" si="0"/>
        <v>501.14999844892384</v>
      </c>
      <c r="S55" s="59">
        <f ca="1">AVERAGE(OFFSET($R$3,0,0,'Données projet'!$E$9+1,1))-AVERAGE(OFFSET($H$3,0,0,'Données projet'!$E$9+1,1))</f>
        <v>474.39725570496114</v>
      </c>
      <c r="T55" s="59">
        <f t="shared" si="34"/>
        <v>196.13536593828755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267.60000000000008</v>
      </c>
      <c r="AJ55" s="13">
        <f>AI55*VLOOKUP('Données projet'!$B$10,Paramètres!$A$1:$I$89,3,0)*VLOOKUP('Données projet'!$B$10,Paramètres!$A$1:$I$89,5,0)</f>
        <v>208.72800000000007</v>
      </c>
      <c r="AK55" s="13">
        <f t="shared" si="35"/>
        <v>51.657523484203345</v>
      </c>
      <c r="AL55" s="20">
        <f t="shared" si="4"/>
        <v>453.50478673498765</v>
      </c>
      <c r="AM55" s="59">
        <f t="shared" si="5"/>
        <v>709.940066198571</v>
      </c>
      <c r="AN55" s="59">
        <f ca="1">AVERAGE(OFFSET($AM$3,0,0,'Données projet'!$E$10+1,1))-AVERAGE(OFFSET($H$3,0,0,'Données projet'!$E$10+1,1))</f>
        <v>381.55743422692029</v>
      </c>
      <c r="AO55" s="59">
        <f t="shared" si="36"/>
        <v>360.34132229290537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9.637269868333858</v>
      </c>
      <c r="AV55" s="21">
        <f>EXP(-LN(2)/25)*AV54+(1-EXP(-LN(2)/25))/(LN(2)/25)*Calculateur!AQ55*Calculateur!AS55*VLOOKUP('Données projet'!$B$10,Paramètres!$A$1:$I$89,3,0)*0.475*44/12</f>
        <v>19.168434296728446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28.805704165062302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</v>
      </c>
      <c r="BD55" s="12">
        <f>IF('Données projet'!$A$88&gt;35,BD54+BC55-BL54,IF(A55&lt;'Données projet'!$A$88,$BA$205^A55,IF(A55='Données projet'!$A$88,'Données projet'!$B$88,BD54+BC55-BL54)))</f>
        <v>52</v>
      </c>
      <c r="BE55" s="13">
        <f>BD55*VLOOKUP('Données projet'!$B$11,Paramètres!$A$1:$I$89,3,0)*VLOOKUP('Données projet'!$B$11,Paramètres!$A$1:$I$89,5,0)</f>
        <v>42.182400000000001</v>
      </c>
      <c r="BF55" s="13">
        <f t="shared" si="37"/>
        <v>12.57529172853067</v>
      </c>
      <c r="BG55" s="20">
        <f t="shared" si="7"/>
        <v>95.369646427190915</v>
      </c>
      <c r="BH55" s="59">
        <f t="shared" si="8"/>
        <v>351.80492589077426</v>
      </c>
      <c r="BI55" s="59">
        <f ca="1">AVERAGE(OFFSET($BH$3,0,0,'Données projet'!$E$11+1,1))-AVERAGE(OFFSET($H$3,0,0,'Données projet'!$E$11+1,1))</f>
        <v>99.41315989132292</v>
      </c>
      <c r="BJ55" s="59">
        <f t="shared" si="38"/>
        <v>111.63051055870588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131</v>
      </c>
      <c r="L56" s="12">
        <f>VLOOKUP(A56,'Données projet'!$A$35:$I$55,9,0)</f>
        <v>8.375</v>
      </c>
      <c r="M56" s="12">
        <f t="array" ref="M56">INDEX(L:L,MIN(IF(ISNUMBER(L56:L252),ROW(L56:L252),"")))</f>
        <v>8.375</v>
      </c>
      <c r="N56" s="13">
        <f>IF('Données projet'!$A$36&gt;35,N55+M56-V55,IF(A56&lt;'Données projet'!$A$36,$K$205^A56,IF(A56='Données projet'!$A$36,'Données projet'!$B$36,N55+M56-V55)))</f>
        <v>131.00000000000009</v>
      </c>
      <c r="O56" s="13">
        <f>N56*VLOOKUP('Données projet'!$B$9,Paramètres!$A$1:$I$89,3,0)*VLOOKUP('Données projet'!$B$9,Paramètres!$A$1:$I$89,5,0)</f>
        <v>118.52880000000007</v>
      </c>
      <c r="P56" s="13">
        <f t="shared" si="33"/>
        <v>31.33162009308975</v>
      </c>
      <c r="Q56" s="20">
        <f t="shared" si="53"/>
        <v>261.00689832879806</v>
      </c>
      <c r="R56" s="59">
        <f t="shared" si="0"/>
        <v>518.08227653533129</v>
      </c>
      <c r="S56" s="59">
        <f ca="1">AVERAGE(OFFSET($R$3,0,0,'Données projet'!$E$9+1,1))-AVERAGE(OFFSET($H$3,0,0,'Données projet'!$E$9+1,1))</f>
        <v>474.39725570496114</v>
      </c>
      <c r="T56" s="59">
        <f t="shared" si="34"/>
        <v>196.13536593828755</v>
      </c>
      <c r="U56" s="15">
        <f>IF(ISNA(VLOOKUP(A56,'Données projet'!$A$35:$I$55,3,0)),0,VLOOKUP(A56,'Données projet'!$A$35:$I$55,3,0))</f>
        <v>2</v>
      </c>
      <c r="V56" s="15">
        <f>IF(ISNA(VLOOKUP(A56,'Données projet'!$A$35:$I$55,4,0)),0,VLOOKUP(A56,'Données projet'!$A$35:$I$55,4,0))</f>
        <v>42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277.40000000000009</v>
      </c>
      <c r="AJ56" s="13">
        <f>AI56*VLOOKUP('Données projet'!$B$10,Paramètres!$A$1:$I$89,3,0)*VLOOKUP('Données projet'!$B$10,Paramètres!$A$1:$I$89,5,0)</f>
        <v>216.37200000000007</v>
      </c>
      <c r="AK56" s="13">
        <f t="shared" si="35"/>
        <v>53.325596354398634</v>
      </c>
      <c r="AL56" s="20">
        <f t="shared" si="4"/>
        <v>469.72331365057767</v>
      </c>
      <c r="AM56" s="59">
        <f t="shared" si="5"/>
        <v>726.79869185711095</v>
      </c>
      <c r="AN56" s="59">
        <f ca="1">AVERAGE(OFFSET($AM$3,0,0,'Données projet'!$E$10+1,1))-AVERAGE(OFFSET($H$3,0,0,'Données projet'!$E$10+1,1))</f>
        <v>381.55743422692029</v>
      </c>
      <c r="AO56" s="59">
        <f t="shared" si="36"/>
        <v>360.34132229290537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9.4482888843700312</v>
      </c>
      <c r="AV56" s="21">
        <f>EXP(-LN(2)/25)*AV55+(1-EXP(-LN(2)/25))/(LN(2)/25)*Calculateur!AQ56*Calculateur!AS56*VLOOKUP('Données projet'!$B$10,Paramètres!$A$1:$I$89,3,0)*0.475*44/12</f>
        <v>18.644272452860257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28.092561337230286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</v>
      </c>
      <c r="BD56" s="12">
        <f>IF('Données projet'!$A$88&gt;35,BD55+BC56-BL55,IF(A56&lt;'Données projet'!$A$88,$BA$205^A56,IF(A56='Données projet'!$A$88,'Données projet'!$B$88,BD55+BC56-BL55)))</f>
        <v>53</v>
      </c>
      <c r="BE56" s="13">
        <f>BD56*VLOOKUP('Données projet'!$B$11,Paramètres!$A$1:$I$89,3,0)*VLOOKUP('Données projet'!$B$11,Paramètres!$A$1:$I$89,5,0)</f>
        <v>42.993600000000008</v>
      </c>
      <c r="BF56" s="13">
        <f t="shared" si="37"/>
        <v>12.788737488384852</v>
      </c>
      <c r="BG56" s="20">
        <f t="shared" si="7"/>
        <v>97.154237792270294</v>
      </c>
      <c r="BH56" s="59">
        <f t="shared" si="8"/>
        <v>354.22961599880352</v>
      </c>
      <c r="BI56" s="59">
        <f ca="1">AVERAGE(OFFSET($BH$3,0,0,'Données projet'!$E$11+1,1))-AVERAGE(OFFSET($H$3,0,0,'Données projet'!$E$11+1,1))</f>
        <v>99.41315989132292</v>
      </c>
      <c r="BJ56" s="59">
        <f t="shared" si="38"/>
        <v>111.63051055870588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8.25</v>
      </c>
      <c r="N57" s="13">
        <f>IF('Données projet'!$A$36&gt;35,N56+M57-V56,IF(A57&lt;'Données projet'!$A$36,$K$205^A57,IF(A57='Données projet'!$A$36,'Données projet'!$B$36,N56+M57-V56)))</f>
        <v>97.250000000000085</v>
      </c>
      <c r="O57" s="13">
        <f>N57*VLOOKUP('Données projet'!$B$9,Paramètres!$A$1:$I$89,3,0)*VLOOKUP('Données projet'!$B$9,Paramètres!$A$1:$I$89,5,0)</f>
        <v>87.991800000000069</v>
      </c>
      <c r="P57" s="13">
        <f t="shared" si="33"/>
        <v>24.080261258375533</v>
      </c>
      <c r="Q57" s="20">
        <f t="shared" si="53"/>
        <v>195.1921733583375</v>
      </c>
      <c r="R57" s="59">
        <f t="shared" si="0"/>
        <v>452.8965460256768</v>
      </c>
      <c r="S57" s="59">
        <f ca="1">AVERAGE(OFFSET($R$3,0,0,'Données projet'!$E$9+1,1))-AVERAGE(OFFSET($H$3,0,0,'Données projet'!$E$9+1,1))</f>
        <v>474.39725570496114</v>
      </c>
      <c r="T57" s="59">
        <f t="shared" si="34"/>
        <v>196.13536593828755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287.2000000000001</v>
      </c>
      <c r="AJ57" s="13">
        <f>AI57*VLOOKUP('Données projet'!$B$10,Paramètres!$A$1:$I$89,3,0)*VLOOKUP('Données projet'!$B$10,Paramètres!$A$1:$I$89,5,0)</f>
        <v>224.01600000000008</v>
      </c>
      <c r="AK57" s="13">
        <f t="shared" si="35"/>
        <v>54.986822380896371</v>
      </c>
      <c r="AL57" s="20">
        <f t="shared" si="4"/>
        <v>485.92991564672792</v>
      </c>
      <c r="AM57" s="59">
        <f t="shared" si="5"/>
        <v>743.63428831406725</v>
      </c>
      <c r="AN57" s="59">
        <f ca="1">AVERAGE(OFFSET($AM$3,0,0,'Données projet'!$E$10+1,1))-AVERAGE(OFFSET($H$3,0,0,'Données projet'!$E$10+1,1))</f>
        <v>381.55743422692029</v>
      </c>
      <c r="AO57" s="59">
        <f t="shared" si="36"/>
        <v>360.34132229290537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9.2630137022347157</v>
      </c>
      <c r="AV57" s="21">
        <f>EXP(-LN(2)/25)*AV56+(1-EXP(-LN(2)/25))/(LN(2)/25)*Calculateur!AQ57*Calculateur!AS57*VLOOKUP('Données projet'!$B$10,Paramètres!$A$1:$I$89,3,0)*0.475*44/12</f>
        <v>18.134443842177117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27.397457544411832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</v>
      </c>
      <c r="BD57" s="12">
        <f>IF('Données projet'!$A$88&gt;35,BD56+BC57-BL56,IF(A57&lt;'Données projet'!$A$88,$BA$205^A57,IF(A57='Données projet'!$A$88,'Données projet'!$B$88,BD56+BC57-BL56)))</f>
        <v>54</v>
      </c>
      <c r="BE57" s="13">
        <f>BD57*VLOOKUP('Données projet'!$B$11,Paramètres!$A$1:$I$89,3,0)*VLOOKUP('Données projet'!$B$11,Paramètres!$A$1:$I$89,5,0)</f>
        <v>43.804800000000007</v>
      </c>
      <c r="BF57" s="13">
        <f t="shared" si="37"/>
        <v>13.001714958042195</v>
      </c>
      <c r="BG57" s="20">
        <f t="shared" si="7"/>
        <v>98.938013551923504</v>
      </c>
      <c r="BH57" s="59">
        <f t="shared" si="8"/>
        <v>356.64238621926285</v>
      </c>
      <c r="BI57" s="59">
        <f ca="1">AVERAGE(OFFSET($BH$3,0,0,'Données projet'!$E$11+1,1))-AVERAGE(OFFSET($H$3,0,0,'Données projet'!$E$11+1,1))</f>
        <v>99.41315989132292</v>
      </c>
      <c r="BJ57" s="59">
        <f t="shared" si="38"/>
        <v>111.63051055870588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8.25</v>
      </c>
      <c r="N58" s="13">
        <f>IF('Données projet'!$A$36&gt;35,N57+M58-V57,IF(A58&lt;'Données projet'!$A$36,$K$205^A58,IF(A58='Données projet'!$A$36,'Données projet'!$B$36,N57+M58-V57)))</f>
        <v>105.50000000000009</v>
      </c>
      <c r="O58" s="13">
        <f>N58*VLOOKUP('Données projet'!$B$9,Paramètres!$A$1:$I$89,3,0)*VLOOKUP('Données projet'!$B$9,Paramètres!$A$1:$I$89,5,0)</f>
        <v>95.456400000000073</v>
      </c>
      <c r="P58" s="13">
        <f t="shared" si="33"/>
        <v>25.87663550324908</v>
      </c>
      <c r="Q58" s="20">
        <f t="shared" si="53"/>
        <v>211.32170350149227</v>
      </c>
      <c r="R58" s="59">
        <f t="shared" si="0"/>
        <v>469.64415898196364</v>
      </c>
      <c r="S58" s="59">
        <f ca="1">AVERAGE(OFFSET($R$3,0,0,'Données projet'!$E$9+1,1))-AVERAGE(OFFSET($H$3,0,0,'Données projet'!$E$9+1,1))</f>
        <v>474.39725570496114</v>
      </c>
      <c r="T58" s="59">
        <f t="shared" si="34"/>
        <v>196.13536593828755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297</v>
      </c>
      <c r="AG58" s="12">
        <f>VLOOKUP(A58,'Données projet'!$A$61:$I$81,9,0)</f>
        <v>9.8000000000000007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297.00000000000011</v>
      </c>
      <c r="AJ58" s="13">
        <f>AI58*VLOOKUP('Données projet'!$B$10,Paramètres!$A$1:$I$89,3,0)*VLOOKUP('Données projet'!$B$10,Paramètres!$A$1:$I$89,5,0)</f>
        <v>231.66000000000011</v>
      </c>
      <c r="AK58" s="13">
        <f t="shared" si="35"/>
        <v>56.641461975682823</v>
      </c>
      <c r="AL58" s="20">
        <f t="shared" si="4"/>
        <v>502.1250462743144</v>
      </c>
      <c r="AM58" s="59">
        <f t="shared" si="5"/>
        <v>760.44750175478578</v>
      </c>
      <c r="AN58" s="59">
        <f ca="1">AVERAGE(OFFSET($AM$3,0,0,'Données projet'!$E$10+1,1))-AVERAGE(OFFSET($H$3,0,0,'Données projet'!$E$10+1,1))</f>
        <v>381.55743422692029</v>
      </c>
      <c r="AO58" s="59">
        <f t="shared" si="36"/>
        <v>360.34132229290537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0.17200000000000001</v>
      </c>
      <c r="AS58" s="16">
        <f>IF(ISNA(VLOOKUP(A58,'Données projet'!$A$61:$I$81,6,0)),0%,VLOOKUP(A58,'Données projet'!$A$61:$I$81,6,0)*VLOOKUP('Données projet'!$B$10,Paramètres!$A$1:$I$89,7,0))</f>
        <v>0.215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14.272218367549293</v>
      </c>
      <c r="AV58" s="21">
        <f>EXP(-LN(2)/25)*AV57+(1-EXP(-LN(2)/25))/(LN(2)/25)*Calculateur!AQ58*Calculateur!AS58*VLOOKUP('Données projet'!$B$10,Paramètres!$A$1:$I$89,3,0)*0.475*44/12</f>
        <v>24.101566987605967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38.373785355155263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</v>
      </c>
      <c r="BD58" s="12">
        <f>IF('Données projet'!$A$88&gt;35,BD57+BC58-BL57,IF(A58&lt;'Données projet'!$A$88,$BA$205^A58,IF(A58='Données projet'!$A$88,'Données projet'!$B$88,BD57+BC58-BL57)))</f>
        <v>55</v>
      </c>
      <c r="BE58" s="13">
        <f>BD58*VLOOKUP('Données projet'!$B$11,Paramètres!$A$1:$I$89,3,0)*VLOOKUP('Données projet'!$B$11,Paramètres!$A$1:$I$89,5,0)</f>
        <v>44.616000000000007</v>
      </c>
      <c r="BF58" s="13">
        <f t="shared" si="37"/>
        <v>13.214233809656909</v>
      </c>
      <c r="BG58" s="20">
        <f t="shared" si="7"/>
        <v>100.72099055181911</v>
      </c>
      <c r="BH58" s="59">
        <f t="shared" si="8"/>
        <v>359.04344603229049</v>
      </c>
      <c r="BI58" s="59">
        <f ca="1">AVERAGE(OFFSET($BH$3,0,0,'Données projet'!$E$11+1,1))-AVERAGE(OFFSET($H$3,0,0,'Données projet'!$E$11+1,1))</f>
        <v>99.41315989132292</v>
      </c>
      <c r="BJ58" s="59">
        <f t="shared" si="38"/>
        <v>111.63051055870588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8.25</v>
      </c>
      <c r="N59" s="13">
        <f>IF('Données projet'!$A$36&gt;35,N58+M59-V58,IF(A59&lt;'Données projet'!$A$36,$K$205^A59,IF(A59='Données projet'!$A$36,'Données projet'!$B$36,N58+M59-V58)))</f>
        <v>113.75000000000009</v>
      </c>
      <c r="O59" s="13">
        <f>N59*VLOOKUP('Données projet'!$B$9,Paramètres!$A$1:$I$89,3,0)*VLOOKUP('Données projet'!$B$9,Paramètres!$A$1:$I$89,5,0)</f>
        <v>102.92100000000008</v>
      </c>
      <c r="P59" s="13">
        <f t="shared" si="33"/>
        <v>27.656715158188064</v>
      </c>
      <c r="Q59" s="20">
        <f t="shared" si="53"/>
        <v>227.422853900511</v>
      </c>
      <c r="R59" s="59">
        <f t="shared" si="0"/>
        <v>486.35266983913277</v>
      </c>
      <c r="S59" s="59">
        <f ca="1">AVERAGE(OFFSET($R$3,0,0,'Données projet'!$E$9+1,1))-AVERAGE(OFFSET($H$3,0,0,'Données projet'!$E$9+1,1))</f>
        <v>474.39725570496114</v>
      </c>
      <c r="T59" s="59">
        <f t="shared" si="34"/>
        <v>196.13536593828755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</v>
      </c>
      <c r="AI59" s="13">
        <f>IF('Données projet'!$A$62&gt;35,AI58+AH59-AQ58,IF(A59&lt;'Données projet'!$A$62,$AF$205^A59,IF(A59='Données projet'!$A$62,'Données projet'!$B$62,AI58+AH59-AQ58)))</f>
        <v>271.60000000000014</v>
      </c>
      <c r="AJ59" s="13">
        <f>AI59*VLOOKUP('Données projet'!$B$10,Paramètres!$A$1:$I$89,3,0)*VLOOKUP('Données projet'!$B$10,Paramètres!$A$1:$I$89,5,0)</f>
        <v>211.84800000000013</v>
      </c>
      <c r="AK59" s="13">
        <f t="shared" si="35"/>
        <v>52.33921403960656</v>
      </c>
      <c r="AL59" s="20">
        <f t="shared" si="4"/>
        <v>460.12606445231495</v>
      </c>
      <c r="AM59" s="59">
        <f t="shared" si="5"/>
        <v>719.05588039093664</v>
      </c>
      <c r="AN59" s="59">
        <f ca="1">AVERAGE(OFFSET($AM$3,0,0,'Données projet'!$E$10+1,1))-AVERAGE(OFFSET($H$3,0,0,'Données projet'!$E$10+1,1))</f>
        <v>381.55743422692029</v>
      </c>
      <c r="AO59" s="59">
        <f t="shared" si="36"/>
        <v>360.34132229290537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13.992348870555288</v>
      </c>
      <c r="AV59" s="21">
        <f>EXP(-LN(2)/25)*AV58+(1-EXP(-LN(2)/25))/(LN(2)/25)*Calculateur!AQ59*Calculateur!AS59*VLOOKUP('Données projet'!$B$10,Paramètres!$A$1:$I$89,3,0)*0.475*44/12</f>
        <v>23.442508370883559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37.434857241438849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</v>
      </c>
      <c r="BD59" s="12">
        <f>IF('Données projet'!$A$88&gt;35,BD58+BC59-BL58,IF(A59&lt;'Données projet'!$A$88,$BA$205^A59,IF(A59='Données projet'!$A$88,'Données projet'!$B$88,BD58+BC59-BL58)))</f>
        <v>56</v>
      </c>
      <c r="BE59" s="13">
        <f>BD59*VLOOKUP('Données projet'!$B$11,Paramètres!$A$1:$I$89,3,0)*VLOOKUP('Données projet'!$B$11,Paramètres!$A$1:$I$89,5,0)</f>
        <v>45.427200000000006</v>
      </c>
      <c r="BF59" s="13">
        <f t="shared" si="37"/>
        <v>13.426303343530927</v>
      </c>
      <c r="BG59" s="20">
        <f t="shared" si="7"/>
        <v>102.50318498998304</v>
      </c>
      <c r="BH59" s="59">
        <f t="shared" si="8"/>
        <v>361.43300092860477</v>
      </c>
      <c r="BI59" s="59">
        <f ca="1">AVERAGE(OFFSET($BH$3,0,0,'Données projet'!$E$11+1,1))-AVERAGE(OFFSET($H$3,0,0,'Données projet'!$E$11+1,1))</f>
        <v>99.41315989132292</v>
      </c>
      <c r="BJ59" s="59">
        <f t="shared" si="38"/>
        <v>111.63051055870588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8.25</v>
      </c>
      <c r="N60" s="13">
        <f>IF('Données projet'!$A$36&gt;35,N59+M60-V59,IF(A60&lt;'Données projet'!$A$36,$K$205^A60,IF(A60='Données projet'!$A$36,'Données projet'!$B$36,N59+M60-V59)))</f>
        <v>122.00000000000009</v>
      </c>
      <c r="O60" s="13">
        <f>N60*VLOOKUP('Données projet'!$B$9,Paramètres!$A$1:$I$89,3,0)*VLOOKUP('Données projet'!$B$9,Paramètres!$A$1:$I$89,5,0)</f>
        <v>110.38560000000008</v>
      </c>
      <c r="P60" s="13">
        <f t="shared" si="33"/>
        <v>29.421816429201431</v>
      </c>
      <c r="Q60" s="20">
        <f t="shared" si="53"/>
        <v>243.49791694752594</v>
      </c>
      <c r="R60" s="59">
        <f t="shared" si="0"/>
        <v>503.02455699820365</v>
      </c>
      <c r="S60" s="59">
        <f ca="1">AVERAGE(OFFSET($R$3,0,0,'Données projet'!$E$9+1,1))-AVERAGE(OFFSET($H$3,0,0,'Données projet'!$E$9+1,1))</f>
        <v>474.39725570496114</v>
      </c>
      <c r="T60" s="59">
        <f t="shared" si="34"/>
        <v>196.13536593828755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</v>
      </c>
      <c r="AI60" s="13">
        <f>IF('Données projet'!$A$62&gt;35,AI59+AH60-AQ59,IF(A60&lt;'Données projet'!$A$62,$AF$205^A60,IF(A60='Données projet'!$A$62,'Données projet'!$B$62,AI59+AH60-AQ59)))</f>
        <v>281.20000000000016</v>
      </c>
      <c r="AJ60" s="13">
        <f>AI60*VLOOKUP('Données projet'!$B$10,Paramètres!$A$1:$I$89,3,0)*VLOOKUP('Données projet'!$B$10,Paramètres!$A$1:$I$89,5,0)</f>
        <v>219.33600000000013</v>
      </c>
      <c r="AK60" s="13">
        <f t="shared" si="35"/>
        <v>53.97054322228994</v>
      </c>
      <c r="AL60" s="20">
        <f t="shared" si="4"/>
        <v>476.00889611215524</v>
      </c>
      <c r="AM60" s="59">
        <f t="shared" si="5"/>
        <v>735.53553616283295</v>
      </c>
      <c r="AN60" s="59">
        <f ca="1">AVERAGE(OFFSET($AM$3,0,0,'Données projet'!$E$10+1,1))-AVERAGE(OFFSET($H$3,0,0,'Données projet'!$E$10+1,1))</f>
        <v>381.55743422692029</v>
      </c>
      <c r="AO60" s="59">
        <f t="shared" si="36"/>
        <v>360.34132229290537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13.7179674436938</v>
      </c>
      <c r="AV60" s="21">
        <f>EXP(-LN(2)/25)*AV59+(1-EXP(-LN(2)/25))/(LN(2)/25)*Calculateur!AQ60*Calculateur!AS60*VLOOKUP('Données projet'!$B$10,Paramètres!$A$1:$I$89,3,0)*0.475*44/12</f>
        <v>22.80147174669381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36.519439190387608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</v>
      </c>
      <c r="BD60" s="12">
        <f>IF('Données projet'!$A$88&gt;35,BD59+BC60-BL59,IF(A60&lt;'Données projet'!$A$88,$BA$205^A60,IF(A60='Données projet'!$A$88,'Données projet'!$B$88,BD59+BC60-BL59)))</f>
        <v>57</v>
      </c>
      <c r="BE60" s="13">
        <f>BD60*VLOOKUP('Données projet'!$B$11,Paramètres!$A$1:$I$89,3,0)*VLOOKUP('Données projet'!$B$11,Paramètres!$A$1:$I$89,5,0)</f>
        <v>46.238400000000006</v>
      </c>
      <c r="BF60" s="13">
        <f t="shared" si="37"/>
        <v>13.637932508790355</v>
      </c>
      <c r="BG60" s="20">
        <f t="shared" si="7"/>
        <v>104.28461245280988</v>
      </c>
      <c r="BH60" s="59">
        <f t="shared" si="8"/>
        <v>363.81125250348759</v>
      </c>
      <c r="BI60" s="59">
        <f ca="1">AVERAGE(OFFSET($BH$3,0,0,'Données projet'!$E$11+1,1))-AVERAGE(OFFSET($H$3,0,0,'Données projet'!$E$11+1,1))</f>
        <v>99.41315989132292</v>
      </c>
      <c r="BJ60" s="59">
        <f t="shared" si="38"/>
        <v>111.63051055870588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8.25</v>
      </c>
      <c r="N61" s="13">
        <f>IF('Données projet'!$A$36&gt;35,N60+M61-V60,IF(A61&lt;'Données projet'!$A$36,$K$205^A61,IF(A61='Données projet'!$A$36,'Données projet'!$B$36,N60+M61-V60)))</f>
        <v>130.25000000000009</v>
      </c>
      <c r="O61" s="13">
        <f>N61*VLOOKUP('Données projet'!$B$9,Paramètres!$A$1:$I$89,3,0)*VLOOKUP('Données projet'!$B$9,Paramètres!$A$1:$I$89,5,0)</f>
        <v>117.85020000000007</v>
      </c>
      <c r="P61" s="13">
        <f t="shared" si="33"/>
        <v>31.173067437106187</v>
      </c>
      <c r="Q61" s="20">
        <f t="shared" si="53"/>
        <v>259.54885745296002</v>
      </c>
      <c r="R61" s="59">
        <f t="shared" si="0"/>
        <v>519.6619680516485</v>
      </c>
      <c r="S61" s="59">
        <f ca="1">AVERAGE(OFFSET($R$3,0,0,'Données projet'!$E$9+1,1))-AVERAGE(OFFSET($H$3,0,0,'Données projet'!$E$9+1,1))</f>
        <v>474.39725570496114</v>
      </c>
      <c r="T61" s="59">
        <f t="shared" si="34"/>
        <v>196.13536593828755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9.6</v>
      </c>
      <c r="AI61" s="13">
        <f>IF('Données projet'!$A$62&gt;35,AI60+AH61-AQ60,IF(A61&lt;'Données projet'!$A$62,$AF$205^A61,IF(A61='Données projet'!$A$62,'Données projet'!$B$62,AI60+AH61-AQ60)))</f>
        <v>290.80000000000018</v>
      </c>
      <c r="AJ61" s="13">
        <f>AI61*VLOOKUP('Données projet'!$B$10,Paramètres!$A$1:$I$89,3,0)*VLOOKUP('Données projet'!$B$10,Paramètres!$A$1:$I$89,5,0)</f>
        <v>226.82400000000015</v>
      </c>
      <c r="AK61" s="13">
        <f t="shared" si="35"/>
        <v>55.59540132136393</v>
      </c>
      <c r="AL61" s="20">
        <f t="shared" si="4"/>
        <v>491.88045730137583</v>
      </c>
      <c r="AM61" s="59">
        <f t="shared" si="5"/>
        <v>751.99356790006425</v>
      </c>
      <c r="AN61" s="59">
        <f ca="1">AVERAGE(OFFSET($AM$3,0,0,'Données projet'!$E$10+1,1))-AVERAGE(OFFSET($H$3,0,0,'Données projet'!$E$10+1,1))</f>
        <v>381.55743422692029</v>
      </c>
      <c r="AO61" s="59">
        <f t="shared" si="36"/>
        <v>360.34132229290537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13.44896646925692</v>
      </c>
      <c r="AV61" s="21">
        <f>EXP(-LN(2)/25)*AV60+(1-EXP(-LN(2)/25))/(LN(2)/25)*Calculateur!AQ61*Calculateur!AS61*VLOOKUP('Données projet'!$B$10,Paramètres!$A$1:$I$89,3,0)*0.475*44/12</f>
        <v>22.177964302703181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35.626930771960104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</v>
      </c>
      <c r="BD61" s="12">
        <f>IF('Données projet'!$A$88&gt;35,BD60+BC61-BL60,IF(A61&lt;'Données projet'!$A$88,$BA$205^A61,IF(A61='Données projet'!$A$88,'Données projet'!$B$88,BD60+BC61-BL60)))</f>
        <v>58</v>
      </c>
      <c r="BE61" s="13">
        <f>BD61*VLOOKUP('Données projet'!$B$11,Paramètres!$A$1:$I$89,3,0)*VLOOKUP('Données projet'!$B$11,Paramètres!$A$1:$I$89,5,0)</f>
        <v>47.049600000000005</v>
      </c>
      <c r="BF61" s="13">
        <f t="shared" si="37"/>
        <v>13.849129922569936</v>
      </c>
      <c r="BG61" s="20">
        <f t="shared" si="7"/>
        <v>106.06528794847598</v>
      </c>
      <c r="BH61" s="59">
        <f t="shared" si="8"/>
        <v>366.17839854716442</v>
      </c>
      <c r="BI61" s="59">
        <f ca="1">AVERAGE(OFFSET($BH$3,0,0,'Données projet'!$E$11+1,1))-AVERAGE(OFFSET($H$3,0,0,'Données projet'!$E$11+1,1))</f>
        <v>99.41315989132292</v>
      </c>
      <c r="BJ61" s="59">
        <f t="shared" si="38"/>
        <v>111.63051055870588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8.25</v>
      </c>
      <c r="N62" s="13">
        <f>IF('Données projet'!$A$36&gt;35,N61+M62-V61,IF(A62&lt;'Données projet'!$A$36,$K$205^A62,IF(A62='Données projet'!$A$36,'Données projet'!$B$36,N61+M62-V61)))</f>
        <v>138.50000000000009</v>
      </c>
      <c r="O62" s="13">
        <f>N62*VLOOKUP('Données projet'!$B$9,Paramètres!$A$1:$I$89,3,0)*VLOOKUP('Données projet'!$B$9,Paramètres!$A$1:$I$89,5,0)</f>
        <v>125.31480000000006</v>
      </c>
      <c r="P62" s="13">
        <f t="shared" si="33"/>
        <v>32.911445314387223</v>
      </c>
      <c r="Q62" s="20">
        <f t="shared" si="53"/>
        <v>275.57737725589118</v>
      </c>
      <c r="R62" s="59">
        <f t="shared" si="0"/>
        <v>536.2667844497339</v>
      </c>
      <c r="S62" s="59">
        <f ca="1">AVERAGE(OFFSET($R$3,0,0,'Données projet'!$E$9+1,1))-AVERAGE(OFFSET($H$3,0,0,'Données projet'!$E$9+1,1))</f>
        <v>474.39725570496114</v>
      </c>
      <c r="T62" s="59">
        <f t="shared" si="34"/>
        <v>196.13536593828755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9.6</v>
      </c>
      <c r="AI62" s="13">
        <f>IF('Données projet'!$A$62&gt;35,AI61+AH62-AQ61,IF(A62&lt;'Données projet'!$A$62,$AF$205^A62,IF(A62='Données projet'!$A$62,'Données projet'!$B$62,AI61+AH62-AQ61)))</f>
        <v>300.4000000000002</v>
      </c>
      <c r="AJ62" s="13">
        <f>AI62*VLOOKUP('Données projet'!$B$10,Paramètres!$A$1:$I$89,3,0)*VLOOKUP('Données projet'!$B$10,Paramètres!$A$1:$I$89,5,0)</f>
        <v>234.31200000000015</v>
      </c>
      <c r="AK62" s="13">
        <f t="shared" si="35"/>
        <v>57.214026458952496</v>
      </c>
      <c r="AL62" s="20">
        <f t="shared" si="4"/>
        <v>507.74116274934249</v>
      </c>
      <c r="AM62" s="59">
        <f t="shared" si="5"/>
        <v>768.43056994318522</v>
      </c>
      <c r="AN62" s="59">
        <f ca="1">AVERAGE(OFFSET($AM$3,0,0,'Données projet'!$E$10+1,1))-AVERAGE(OFFSET($H$3,0,0,'Données projet'!$E$10+1,1))</f>
        <v>381.55743422692029</v>
      </c>
      <c r="AO62" s="59">
        <f t="shared" si="36"/>
        <v>360.34132229290537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13.185240439854352</v>
      </c>
      <c r="AV62" s="21">
        <f>EXP(-LN(2)/25)*AV61+(1-EXP(-LN(2)/25))/(LN(2)/25)*Calculateur!AQ62*Calculateur!AS62*VLOOKUP('Données projet'!$B$10,Paramètres!$A$1:$I$89,3,0)*0.475*44/12</f>
        <v>21.571506702557308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34.756747142411662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</v>
      </c>
      <c r="BD62" s="12">
        <f>IF('Données projet'!$A$88&gt;35,BD61+BC62-BL61,IF(A62&lt;'Données projet'!$A$88,$BA$205^A62,IF(A62='Données projet'!$A$88,'Données projet'!$B$88,BD61+BC62-BL61)))</f>
        <v>59</v>
      </c>
      <c r="BE62" s="13">
        <f>BD62*VLOOKUP('Données projet'!$B$11,Paramètres!$A$1:$I$89,3,0)*VLOOKUP('Données projet'!$B$11,Paramètres!$A$1:$I$89,5,0)</f>
        <v>47.860800000000005</v>
      </c>
      <c r="BF62" s="13">
        <f t="shared" si="37"/>
        <v>14.059903887836867</v>
      </c>
      <c r="BG62" s="20">
        <f t="shared" si="7"/>
        <v>107.84522593798255</v>
      </c>
      <c r="BH62" s="59">
        <f t="shared" si="8"/>
        <v>368.53463313182533</v>
      </c>
      <c r="BI62" s="59">
        <f ca="1">AVERAGE(OFFSET($BH$3,0,0,'Données projet'!$E$11+1,1))-AVERAGE(OFFSET($H$3,0,0,'Données projet'!$E$11+1,1))</f>
        <v>99.41315989132292</v>
      </c>
      <c r="BJ62" s="59">
        <f t="shared" si="38"/>
        <v>111.63051055870588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8.25</v>
      </c>
      <c r="N63" s="13">
        <f>IF('Données projet'!$A$36&gt;35,N62+M63-V62,IF(A63&lt;'Données projet'!$A$36,$K$205^A63,IF(A63='Données projet'!$A$36,'Données projet'!$B$36,N62+M63-V62)))</f>
        <v>146.75000000000009</v>
      </c>
      <c r="O63" s="13">
        <f>N63*VLOOKUP('Données projet'!$B$9,Paramètres!$A$1:$I$89,3,0)*VLOOKUP('Données projet'!$B$9,Paramètres!$A$1:$I$89,5,0)</f>
        <v>132.77940000000007</v>
      </c>
      <c r="P63" s="13">
        <f t="shared" si="33"/>
        <v>34.637804207667507</v>
      </c>
      <c r="Q63" s="20">
        <f t="shared" si="53"/>
        <v>291.58496399502098</v>
      </c>
      <c r="R63" s="59">
        <f t="shared" si="0"/>
        <v>552.84067032649841</v>
      </c>
      <c r="S63" s="59">
        <f ca="1">AVERAGE(OFFSET($R$3,0,0,'Données projet'!$E$9+1,1))-AVERAGE(OFFSET($H$3,0,0,'Données projet'!$E$9+1,1))</f>
        <v>474.39725570496114</v>
      </c>
      <c r="T63" s="59">
        <f t="shared" si="34"/>
        <v>196.13536593828755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310</v>
      </c>
      <c r="AG63" s="12">
        <f>VLOOKUP(A63,'Données projet'!$A$61:$I$81,9,0)</f>
        <v>9.6</v>
      </c>
      <c r="AH63" s="12">
        <f t="array" ref="AH63">INDEX(AG:AG,MIN(IF(ISNUMBER(AG63:AG259),ROW(AG63:AG259),"")))</f>
        <v>9.6</v>
      </c>
      <c r="AI63" s="13">
        <f>IF('Données projet'!$A$62&gt;35,AI62+AH63-AQ62,IF(A63&lt;'Données projet'!$A$62,$AF$205^A63,IF(A63='Données projet'!$A$62,'Données projet'!$B$62,AI62+AH63-AQ62)))</f>
        <v>310.00000000000023</v>
      </c>
      <c r="AJ63" s="13">
        <f>AI63*VLOOKUP('Données projet'!$B$10,Paramètres!$A$1:$I$89,3,0)*VLOOKUP('Données projet'!$B$10,Paramètres!$A$1:$I$89,5,0)</f>
        <v>241.80000000000018</v>
      </c>
      <c r="AK63" s="13">
        <f t="shared" si="35"/>
        <v>58.826640673484889</v>
      </c>
      <c r="AL63" s="20">
        <f t="shared" si="4"/>
        <v>523.59139917298648</v>
      </c>
      <c r="AM63" s="59">
        <f t="shared" si="5"/>
        <v>784.84710550446403</v>
      </c>
      <c r="AN63" s="59">
        <f ca="1">AVERAGE(OFFSET($AM$3,0,0,'Données projet'!$E$10+1,1))-AVERAGE(OFFSET($H$3,0,0,'Données projet'!$E$10+1,1))</f>
        <v>381.55743422692029</v>
      </c>
      <c r="AO63" s="59">
        <f t="shared" si="36"/>
        <v>360.34132229290537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37</v>
      </c>
      <c r="AR63" s="16">
        <f>IF(ISNA(VLOOKUP(A63,'Données projet'!$A$61:$I$81,5,0)),0%,VLOOKUP(A63,'Données projet'!$A$61:$I$81,5,0)*VLOOKUP('Données projet'!$B$10,Paramètres!$A$1:$I$89,7,0))</f>
        <v>0.215</v>
      </c>
      <c r="AS63" s="16">
        <f>IF(ISNA(VLOOKUP(A63,'Données projet'!$A$61:$I$81,6,0)),0%,VLOOKUP(A63,'Données projet'!$A$61:$I$81,6,0)*VLOOKUP('Données projet'!$B$10,Paramètres!$A$1:$I$89,7,0))</f>
        <v>0.215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19.786019074995377</v>
      </c>
      <c r="AV63" s="21">
        <f>EXP(-LN(2)/25)*AV62+(1-EXP(-LN(2)/25))/(LN(2)/25)*Calculateur!AQ63*Calculateur!AS63*VLOOKUP('Données projet'!$B$10,Paramètres!$A$1:$I$89,3,0)*0.475*44/12</f>
        <v>27.813958067089903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47.59997714208528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60</v>
      </c>
      <c r="BB63" s="12">
        <f>VLOOKUP(A63,'Données projet'!$A$87:$I$107,9,0)</f>
        <v>1</v>
      </c>
      <c r="BC63" s="12">
        <f t="array" ref="BC63">INDEX(BB:BB,MIN(IF(ISNUMBER(BB63:BB259),ROW(BB63:BB259),"")))</f>
        <v>1</v>
      </c>
      <c r="BD63" s="12">
        <f>IF('Données projet'!$A$88&gt;35,BD62+BC63-BL62,IF(A63&lt;'Données projet'!$A$88,$BA$205^A63,IF(A63='Données projet'!$A$88,'Données projet'!$B$88,BD62+BC63-BL62)))</f>
        <v>60</v>
      </c>
      <c r="BE63" s="13">
        <f>BD63*VLOOKUP('Données projet'!$B$11,Paramètres!$A$1:$I$89,3,0)*VLOOKUP('Données projet'!$B$11,Paramètres!$A$1:$I$89,5,0)</f>
        <v>48.672000000000004</v>
      </c>
      <c r="BF63" s="13">
        <f t="shared" si="37"/>
        <v>14.270262409972053</v>
      </c>
      <c r="BG63" s="20">
        <f t="shared" si="7"/>
        <v>109.62444036403467</v>
      </c>
      <c r="BH63" s="59">
        <f t="shared" si="8"/>
        <v>370.88014669551217</v>
      </c>
      <c r="BI63" s="59">
        <f ca="1">AVERAGE(OFFSET($BH$3,0,0,'Données projet'!$E$11+1,1))-AVERAGE(OFFSET($H$3,0,0,'Données projet'!$E$11+1,1))</f>
        <v>99.41315989132292</v>
      </c>
      <c r="BJ63" s="59">
        <f t="shared" si="38"/>
        <v>111.63051055870588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130</v>
      </c>
      <c r="BM63" s="16">
        <f>IF(ISNA(VLOOKUP(A63,'Données projet'!$A$87:$I$107,5,0)),0%,VLOOKUP(A63,'Données projet'!$A$87:$I$107,5,0)*VLOOKUP('Données projet'!$B$11,Paramètres!$A$1:$I$89,7,0))</f>
        <v>0.42400000000000004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49.429277361867371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49.429277361867371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155</v>
      </c>
      <c r="L64" s="12">
        <f>VLOOKUP(A64,'Données projet'!$A$35:$I$55,9,0)</f>
        <v>8.25</v>
      </c>
      <c r="M64" s="12">
        <f t="array" ref="M64">INDEX(L:L,MIN(IF(ISNUMBER(L64:L260),ROW(L64:L260),"")))</f>
        <v>8.25</v>
      </c>
      <c r="N64" s="13">
        <f>IF('Données projet'!$A$36&gt;35,N63+M64-V63,IF(A64&lt;'Données projet'!$A$36,$K$205^A64,IF(A64='Données projet'!$A$36,'Données projet'!$B$36,N63+M64-V63)))</f>
        <v>155.00000000000009</v>
      </c>
      <c r="O64" s="13">
        <f>N64*VLOOKUP('Données projet'!$B$9,Paramètres!$A$1:$I$89,3,0)*VLOOKUP('Données projet'!$B$9,Paramètres!$A$1:$I$89,5,0)</f>
        <v>140.24400000000009</v>
      </c>
      <c r="P64" s="13">
        <f t="shared" si="33"/>
        <v>36.352896802451788</v>
      </c>
      <c r="Q64" s="20">
        <f t="shared" si="53"/>
        <v>307.57292859760366</v>
      </c>
      <c r="R64" s="59">
        <f t="shared" si="0"/>
        <v>569.385110042733</v>
      </c>
      <c r="S64" s="59">
        <f ca="1">AVERAGE(OFFSET($R$3,0,0,'Données projet'!$E$9+1,1))-AVERAGE(OFFSET($H$3,0,0,'Données projet'!$E$9+1,1))</f>
        <v>474.39725570496114</v>
      </c>
      <c r="T64" s="59">
        <f t="shared" si="34"/>
        <v>196.13536593828755</v>
      </c>
      <c r="U64" s="15">
        <f>IF(ISNA(VLOOKUP(A64,'Données projet'!$A$35:$I$55,3,0)),0,VLOOKUP(A64,'Données projet'!$A$35:$I$55,3,0))</f>
        <v>3</v>
      </c>
      <c r="V64" s="15">
        <f>IF(ISNA(VLOOKUP(A64,'Données projet'!$A$35:$I$55,4,0)),0,VLOOKUP(A64,'Données projet'!$A$35:$I$55,4,0))</f>
        <v>43</v>
      </c>
      <c r="W64" s="16">
        <f>IF(ISNA(VLOOKUP(A64,'Données projet'!$A$35:$I$55,5,0)),0%,VLOOKUP(A64,'Données projet'!$A$35:$I$55,5,0)*VLOOKUP('Données projet'!$B$9,Paramètres!$A$1:$I$89,7,0))</f>
        <v>0.215</v>
      </c>
      <c r="X64" s="16">
        <f>IF(ISNA(VLOOKUP(A64,'Données projet'!$A$35:$I$55,6,0)),0%,VLOOKUP(A64,'Données projet'!$A$35:$I$55,6,0)*VLOOKUP('Données projet'!$B$9,Paramètres!$A$1:$I$89,7,0))</f>
        <v>0.17200000000000001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9.2471226464660656</v>
      </c>
      <c r="AA64" s="21">
        <f>EXP(-LN(2)/25)*AA63+(1-EXP(-LN(2)/25))/(LN(2)/25)*Calculateur!V64*Calculateur!X64*VLOOKUP('Données projet'!$B$9,Paramètres!$A$1:$I$89,3,0)*0.475*44/12</f>
        <v>7.3685705609415741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16.615693207407638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9.1999999999999993</v>
      </c>
      <c r="AI64" s="13">
        <f>IF('Données projet'!$A$62&gt;35,AI63+AH64-AQ63,IF(A64&lt;'Données projet'!$A$62,$AF$205^A64,IF(A64='Données projet'!$A$62,'Données projet'!$B$62,AI63+AH64-AQ63)))</f>
        <v>282.20000000000022</v>
      </c>
      <c r="AJ64" s="13">
        <f>AI64*VLOOKUP('Données projet'!$B$10,Paramètres!$A$1:$I$89,3,0)*VLOOKUP('Données projet'!$B$10,Paramètres!$A$1:$I$89,5,0)</f>
        <v>220.11600000000018</v>
      </c>
      <c r="AK64" s="13">
        <f t="shared" si="35"/>
        <v>54.140096973925971</v>
      </c>
      <c r="AL64" s="20">
        <f t="shared" si="4"/>
        <v>477.66270222958809</v>
      </c>
      <c r="AM64" s="59">
        <f t="shared" si="5"/>
        <v>739.47488367471738</v>
      </c>
      <c r="AN64" s="59">
        <f ca="1">AVERAGE(OFFSET($AM$3,0,0,'Données projet'!$E$10+1,1))-AVERAGE(OFFSET($H$3,0,0,'Données projet'!$E$10+1,1))</f>
        <v>381.55743422692029</v>
      </c>
      <c r="AO64" s="59">
        <f t="shared" si="36"/>
        <v>360.34132229290537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19.398027309214708</v>
      </c>
      <c r="AV64" s="21">
        <f>EXP(-LN(2)/25)*AV63+(1-EXP(-LN(2)/25))/(LN(2)/25)*Calculateur!AQ64*Calculateur!AS64*VLOOKUP('Données projet'!$B$10,Paramètres!$A$1:$I$89,3,0)*0.475*44/12</f>
        <v>27.053383921072843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46.451411230287547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-70</v>
      </c>
      <c r="BE64" s="13">
        <f>BD64*VLOOKUP('Données projet'!$B$11,Paramètres!$A$1:$I$89,3,0)*VLOOKUP('Données projet'!$B$11,Paramètres!$A$1:$I$89,5,0)</f>
        <v>-56.783999999999999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99.41315989132292</v>
      </c>
      <c r="BJ64" s="59">
        <f t="shared" si="38"/>
        <v>111.63051055870588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48.459999381683389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48.459999381683389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8.125</v>
      </c>
      <c r="N65" s="13">
        <f>IF('Données projet'!$A$36&gt;35,N64+M65-V64,IF(A65&lt;'Données projet'!$A$36,$K$205^A65,IF(A65='Données projet'!$A$36,'Données projet'!$B$36,N64+M65-V64)))</f>
        <v>120.12500000000009</v>
      </c>
      <c r="O65" s="13">
        <f>N65*VLOOKUP('Données projet'!$B$9,Paramètres!$A$1:$I$89,3,0)*VLOOKUP('Données projet'!$B$9,Paramètres!$A$1:$I$89,5,0)</f>
        <v>108.68910000000007</v>
      </c>
      <c r="P65" s="13">
        <f t="shared" si="33"/>
        <v>29.021911132313864</v>
      </c>
      <c r="Q65" s="20">
        <f t="shared" si="53"/>
        <v>239.84667772211341</v>
      </c>
      <c r="R65" s="59">
        <f t="shared" si="0"/>
        <v>502.20568068176476</v>
      </c>
      <c r="S65" s="59">
        <f ca="1">AVERAGE(OFFSET($R$3,0,0,'Données projet'!$E$9+1,1))-AVERAGE(OFFSET($H$3,0,0,'Données projet'!$E$9+1,1))</f>
        <v>474.39725570496114</v>
      </c>
      <c r="T65" s="59">
        <f t="shared" si="34"/>
        <v>196.13536593828755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9.065792211556758</v>
      </c>
      <c r="AA65" s="21">
        <f>EXP(-LN(2)/25)*AA64+(1-EXP(-LN(2)/25))/(LN(2)/25)*Calculateur!V65*Calculateur!X65*VLOOKUP('Données projet'!$B$9,Paramètres!$A$1:$I$89,3,0)*0.475*44/12</f>
        <v>7.1670766114563422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16.232868823013099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9.1999999999999993</v>
      </c>
      <c r="AI65" s="13">
        <f>IF('Données projet'!$A$62&gt;35,AI64+AH65-AQ64,IF(A65&lt;'Données projet'!$A$62,$AF$205^A65,IF(A65='Données projet'!$A$62,'Données projet'!$B$62,AI64+AH65-AQ64)))</f>
        <v>291.4000000000002</v>
      </c>
      <c r="AJ65" s="13">
        <f>AI65*VLOOKUP('Données projet'!$B$10,Paramètres!$A$1:$I$89,3,0)*VLOOKUP('Données projet'!$B$10,Paramètres!$A$1:$I$89,5,0)</f>
        <v>227.29200000000017</v>
      </c>
      <c r="AK65" s="13">
        <f t="shared" si="35"/>
        <v>55.696745617483749</v>
      </c>
      <c r="AL65" s="20">
        <f t="shared" si="4"/>
        <v>492.87206528378442</v>
      </c>
      <c r="AM65" s="59">
        <f t="shared" si="5"/>
        <v>755.23106824343574</v>
      </c>
      <c r="AN65" s="59">
        <f ca="1">AVERAGE(OFFSET($AM$3,0,0,'Données projet'!$E$10+1,1))-AVERAGE(OFFSET($H$3,0,0,'Données projet'!$E$10+1,1))</f>
        <v>381.55743422692029</v>
      </c>
      <c r="AO65" s="59">
        <f t="shared" si="36"/>
        <v>360.34132229290537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19.017643825309388</v>
      </c>
      <c r="AV65" s="21">
        <f>EXP(-LN(2)/25)*AV64+(1-EXP(-LN(2)/25))/(LN(2)/25)*Calculateur!AQ65*Calculateur!AS65*VLOOKUP('Données projet'!$B$10,Paramètres!$A$1:$I$89,3,0)*0.475*44/12</f>
        <v>26.313607715075477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45.331251540384869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-70</v>
      </c>
      <c r="BE65" s="13">
        <f>BD65*VLOOKUP('Données projet'!$B$11,Paramètres!$A$1:$I$89,3,0)*VLOOKUP('Données projet'!$B$11,Paramètres!$A$1:$I$89,5,0)</f>
        <v>-56.783999999999999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99.41315989132292</v>
      </c>
      <c r="BJ65" s="59">
        <f t="shared" si="38"/>
        <v>111.63051055870588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47.50972835148962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47.50972835148962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8.125</v>
      </c>
      <c r="N66" s="13">
        <f>IF('Données projet'!$A$36&gt;35,N65+M66-V65,IF(A66&lt;'Données projet'!$A$36,$K$205^A66,IF(A66='Données projet'!$A$36,'Données projet'!$B$36,N65+M66-V65)))</f>
        <v>128.25000000000009</v>
      </c>
      <c r="O66" s="13">
        <f>N66*VLOOKUP('Données projet'!$B$9,Paramètres!$A$1:$I$89,3,0)*VLOOKUP('Données projet'!$B$9,Paramètres!$A$1:$I$89,5,0)</f>
        <v>116.04060000000008</v>
      </c>
      <c r="P66" s="13">
        <f t="shared" si="33"/>
        <v>30.749738764521013</v>
      </c>
      <c r="Q66" s="20">
        <f t="shared" si="53"/>
        <v>255.65984001487422</v>
      </c>
      <c r="R66" s="59">
        <f t="shared" si="0"/>
        <v>518.55617835828036</v>
      </c>
      <c r="S66" s="59">
        <f ca="1">AVERAGE(OFFSET($R$3,0,0,'Données projet'!$E$9+1,1))-AVERAGE(OFFSET($H$3,0,0,'Données projet'!$E$9+1,1))</f>
        <v>474.39725570496114</v>
      </c>
      <c r="T66" s="59">
        <f t="shared" si="34"/>
        <v>196.13536593828755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8.8880175558753773</v>
      </c>
      <c r="AA66" s="21">
        <f>EXP(-LN(2)/25)*AA65+(1-EXP(-LN(2)/25))/(LN(2)/25)*Calculateur!V66*Calculateur!X66*VLOOKUP('Données projet'!$B$9,Paramètres!$A$1:$I$89,3,0)*0.475*44/12</f>
        <v>6.9710925246158899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15.859110080491266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9.1999999999999993</v>
      </c>
      <c r="AI66" s="13">
        <f>IF('Données projet'!$A$62&gt;35,AI65+AH66-AQ65,IF(A66&lt;'Données projet'!$A$62,$AF$205^A66,IF(A66='Données projet'!$A$62,'Données projet'!$B$62,AI65+AH66-AQ65)))</f>
        <v>300.60000000000019</v>
      </c>
      <c r="AJ66" s="13">
        <f>AI66*VLOOKUP('Données projet'!$B$10,Paramètres!$A$1:$I$89,3,0)*VLOOKUP('Données projet'!$B$10,Paramètres!$A$1:$I$89,5,0)</f>
        <v>234.46800000000016</v>
      </c>
      <c r="AK66" s="13">
        <f t="shared" si="35"/>
        <v>57.247683153605443</v>
      </c>
      <c r="AL66" s="20">
        <f t="shared" si="4"/>
        <v>508.07148149252976</v>
      </c>
      <c r="AM66" s="59">
        <f t="shared" si="5"/>
        <v>770.96781983593587</v>
      </c>
      <c r="AN66" s="59">
        <f ca="1">AVERAGE(OFFSET($AM$3,0,0,'Données projet'!$E$10+1,1))-AVERAGE(OFFSET($H$3,0,0,'Données projet'!$E$10+1,1))</f>
        <v>381.55743422692029</v>
      </c>
      <c r="AO66" s="59">
        <f t="shared" si="36"/>
        <v>360.34132229290537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18.644719429512438</v>
      </c>
      <c r="AV66" s="21">
        <f>EXP(-LN(2)/25)*AV65+(1-EXP(-LN(2)/25))/(LN(2)/25)*Calculateur!AQ66*Calculateur!AS66*VLOOKUP('Données projet'!$B$10,Paramètres!$A$1:$I$89,3,0)*0.475*44/12</f>
        <v>25.594060728334249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44.238780157846691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-70</v>
      </c>
      <c r="BE66" s="13">
        <f>BD66*VLOOKUP('Données projet'!$B$11,Paramètres!$A$1:$I$89,3,0)*VLOOKUP('Données projet'!$B$11,Paramètres!$A$1:$I$89,5,0)</f>
        <v>-56.783999999999999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99.41315989132292</v>
      </c>
      <c r="BJ66" s="59">
        <f t="shared" si="38"/>
        <v>111.63051055870588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46.578091556589854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46.578091556589854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8.125</v>
      </c>
      <c r="N67" s="13">
        <f>IF('Données projet'!$A$36&gt;35,N66+M67-V66,IF(A67&lt;'Données projet'!$A$36,$K$205^A67,IF(A67='Données projet'!$A$36,'Données projet'!$B$36,N66+M67-V66)))</f>
        <v>136.37500000000009</v>
      </c>
      <c r="O67" s="13">
        <f>N67*VLOOKUP('Données projet'!$B$9,Paramètres!$A$1:$I$89,3,0)*VLOOKUP('Données projet'!$B$9,Paramètres!$A$1:$I$89,5,0)</f>
        <v>123.39210000000007</v>
      </c>
      <c r="P67" s="13">
        <f t="shared" si="33"/>
        <v>32.464862827214183</v>
      </c>
      <c r="Q67" s="20">
        <f t="shared" ref="Q67:Q98" si="54">(O67+P67)*0.475*44/12</f>
        <v>271.45087692406486</v>
      </c>
      <c r="R67" s="59">
        <f t="shared" ref="R67:R130" si="55">Q67+(I67+J67)*44/12</f>
        <v>534.87522908361962</v>
      </c>
      <c r="S67" s="59">
        <f ca="1">AVERAGE(OFFSET($R$3,0,0,'Données projet'!$E$9+1,1))-AVERAGE(OFFSET($H$3,0,0,'Données projet'!$E$9+1,1))</f>
        <v>474.39725570496114</v>
      </c>
      <c r="T67" s="59">
        <f t="shared" si="34"/>
        <v>196.13536593828755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8.713728952760075</v>
      </c>
      <c r="AA67" s="21">
        <f>EXP(-LN(2)/25)*AA66+(1-EXP(-LN(2)/25))/(LN(2)/25)*Calculateur!V67*Calculateur!X67*VLOOKUP('Données projet'!$B$9,Paramètres!$A$1:$I$89,3,0)*0.475*44/12</f>
        <v>6.7804676329364453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15.494196585696521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9.1999999999999993</v>
      </c>
      <c r="AI67" s="13">
        <f>IF('Données projet'!$A$62&gt;35,AI66+AH67-AQ66,IF(A67&lt;'Données projet'!$A$62,$AF$205^A67,IF(A67='Données projet'!$A$62,'Données projet'!$B$62,AI66+AH67-AQ66)))</f>
        <v>309.80000000000018</v>
      </c>
      <c r="AJ67" s="13">
        <f>AI67*VLOOKUP('Données projet'!$B$10,Paramètres!$A$1:$I$89,3,0)*VLOOKUP('Données projet'!$B$10,Paramètres!$A$1:$I$89,5,0)</f>
        <v>241.64400000000015</v>
      </c>
      <c r="AK67" s="13">
        <f t="shared" si="35"/>
        <v>58.793104433546993</v>
      </c>
      <c r="AL67" s="20">
        <f t="shared" si="4"/>
        <v>523.26129022176121</v>
      </c>
      <c r="AM67" s="59">
        <f t="shared" si="5"/>
        <v>786.68564238131603</v>
      </c>
      <c r="AN67" s="59">
        <f ca="1">AVERAGE(OFFSET($AM$3,0,0,'Données projet'!$E$10+1,1))-AVERAGE(OFFSET($H$3,0,0,'Données projet'!$E$10+1,1))</f>
        <v>381.55743422692029</v>
      </c>
      <c r="AO67" s="59">
        <f t="shared" si="36"/>
        <v>360.34132229290537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18.279107853655645</v>
      </c>
      <c r="AV67" s="21">
        <f>EXP(-LN(2)/25)*AV66+(1-EXP(-LN(2)/25))/(LN(2)/25)*Calculateur!AQ67*Calculateur!AS67*VLOOKUP('Données projet'!$B$10,Paramètres!$A$1:$I$89,3,0)*0.475*44/12</f>
        <v>24.89418979178479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43.173297645440435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-70</v>
      </c>
      <c r="BE67" s="13">
        <f>BD67*VLOOKUP('Données projet'!$B$11,Paramètres!$A$1:$I$89,3,0)*VLOOKUP('Données projet'!$B$11,Paramètres!$A$1:$I$89,5,0)</f>
        <v>-56.783999999999999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99.41315989132292</v>
      </c>
      <c r="BJ67" s="59">
        <f t="shared" si="38"/>
        <v>111.63051055870588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45.664723590995742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45.664723590995742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8.125</v>
      </c>
      <c r="N68" s="13">
        <f>IF('Données projet'!$A$36&gt;35,N67+M68-V67,IF(A68&lt;'Données projet'!$A$36,$K$205^A68,IF(A68='Données projet'!$A$36,'Données projet'!$B$36,N67+M68-V67)))</f>
        <v>144.50000000000009</v>
      </c>
      <c r="O68" s="13">
        <f>N68*VLOOKUP('Données projet'!$B$9,Paramètres!$A$1:$I$89,3,0)*VLOOKUP('Données projet'!$B$9,Paramètres!$A$1:$I$89,5,0)</f>
        <v>130.74360000000007</v>
      </c>
      <c r="P68" s="13">
        <f t="shared" si="33"/>
        <v>34.168126380168069</v>
      </c>
      <c r="Q68" s="20">
        <f t="shared" si="54"/>
        <v>287.22125677879279</v>
      </c>
      <c r="R68" s="59">
        <f t="shared" si="55"/>
        <v>551.16446289524799</v>
      </c>
      <c r="S68" s="59">
        <f ca="1">AVERAGE(OFFSET($R$3,0,0,'Données projet'!$E$9+1,1))-AVERAGE(OFFSET($H$3,0,0,'Données projet'!$E$9+1,1))</f>
        <v>474.39725570496114</v>
      </c>
      <c r="T68" s="59">
        <f t="shared" si="34"/>
        <v>196.13536593828755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8.5428580428463139</v>
      </c>
      <c r="AA68" s="21">
        <f>EXP(-LN(2)/25)*AA67+(1-EXP(-LN(2)/25))/(LN(2)/25)*Calculateur!V68*Calculateur!X68*VLOOKUP('Données projet'!$B$9,Paramètres!$A$1:$I$89,3,0)*0.475*44/12</f>
        <v>6.5950553889445027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15.137913431790817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319</v>
      </c>
      <c r="AG68" s="12">
        <f>VLOOKUP(A68,'Données projet'!$A$61:$I$81,9,0)</f>
        <v>9.1999999999999993</v>
      </c>
      <c r="AH68" s="12">
        <f t="array" ref="AH68">INDEX(AG:AG,MIN(IF(ISNUMBER(AG68:AG264),ROW(AG68:AG264),"")))</f>
        <v>9.1999999999999993</v>
      </c>
      <c r="AI68" s="13">
        <f>IF('Données projet'!$A$62&gt;35,AI67+AH68-AQ67,IF(A68&lt;'Données projet'!$A$62,$AF$205^A68,IF(A68='Données projet'!$A$62,'Données projet'!$B$62,AI67+AH68-AQ67)))</f>
        <v>319.00000000000017</v>
      </c>
      <c r="AJ68" s="13">
        <f>AI68*VLOOKUP('Données projet'!$B$10,Paramètres!$A$1:$I$89,3,0)*VLOOKUP('Données projet'!$B$10,Paramètres!$A$1:$I$89,5,0)</f>
        <v>248.82000000000014</v>
      </c>
      <c r="AK68" s="13">
        <f t="shared" si="35"/>
        <v>60.333192077890068</v>
      </c>
      <c r="AL68" s="20">
        <f t="shared" ref="AL68:AL131" si="58">(AJ68+AK68)*0.475*44/12</f>
        <v>538.44180953565876</v>
      </c>
      <c r="AM68" s="59">
        <f t="shared" ref="AM68:AM131" si="59">AL68+(AD68+AE68)*44/12</f>
        <v>802.38501565211391</v>
      </c>
      <c r="AN68" s="59">
        <f ca="1">AVERAGE(OFFSET($AM$3,0,0,'Données projet'!$E$10+1,1))-AVERAGE(OFFSET($H$3,0,0,'Données projet'!$E$10+1,1))</f>
        <v>381.55743422692029</v>
      </c>
      <c r="AO68" s="59">
        <f t="shared" si="36"/>
        <v>360.34132229290537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37</v>
      </c>
      <c r="AR68" s="16">
        <f>IF(ISNA(VLOOKUP(A68,'Données projet'!$A$61:$I$81,5,0)),0%,VLOOKUP(A68,'Données projet'!$A$61:$I$81,5,0)*VLOOKUP('Données projet'!$B$10,Paramètres!$A$1:$I$89,7,0))</f>
        <v>0.215</v>
      </c>
      <c r="AS68" s="16">
        <f>IF(ISNA(VLOOKUP(A68,'Données projet'!$A$61:$I$81,6,0)),0%,VLOOKUP(A68,'Données projet'!$A$61:$I$81,6,0)*VLOOKUP('Données projet'!$B$10,Paramètres!$A$1:$I$89,7,0))</f>
        <v>0.215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24.779998855764365</v>
      </c>
      <c r="AV68" s="21">
        <f>EXP(-LN(2)/25)*AV67+(1-EXP(-LN(2)/25))/(LN(2)/25)*Calculateur!AQ68*Calculateur!AS68*VLOOKUP('Données projet'!$B$10,Paramètres!$A$1:$I$89,3,0)*0.475*44/12</f>
        <v>31.045782212510151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55.825781068274516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-70</v>
      </c>
      <c r="BE68" s="13">
        <f>BD68*VLOOKUP('Données projet'!$B$11,Paramètres!$A$1:$I$89,3,0)*VLOOKUP('Données projet'!$B$11,Paramètres!$A$1:$I$89,5,0)</f>
        <v>-56.783999999999999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99.41315989132292</v>
      </c>
      <c r="BJ68" s="59">
        <f t="shared" si="38"/>
        <v>111.63051055870588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44.769266214107475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44.769266214107475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8.125</v>
      </c>
      <c r="N69" s="13">
        <f>IF('Données projet'!$A$36&gt;35,N68+M69-V68,IF(A69&lt;'Données projet'!$A$36,$K$205^A69,IF(A69='Données projet'!$A$36,'Données projet'!$B$36,N68+M69-V68)))</f>
        <v>152.62500000000009</v>
      </c>
      <c r="O69" s="13">
        <f>N69*VLOOKUP('Données projet'!$B$9,Paramètres!$A$1:$I$89,3,0)*VLOOKUP('Données projet'!$B$9,Paramètres!$A$1:$I$89,5,0)</f>
        <v>138.09510000000006</v>
      </c>
      <c r="P69" s="13">
        <f t="shared" ref="P69:P132" si="87">EXP(-1.0587+0.8836*LN(O69)+0.284)</f>
        <v>35.86027232062898</v>
      </c>
      <c r="Q69" s="20">
        <f t="shared" si="54"/>
        <v>302.9722734584289</v>
      </c>
      <c r="R69" s="59">
        <f t="shared" si="55"/>
        <v>567.42533257561604</v>
      </c>
      <c r="S69" s="59">
        <f ca="1">AVERAGE(OFFSET($R$3,0,0,'Données projet'!$E$9+1,1))-AVERAGE(OFFSET($H$3,0,0,'Données projet'!$E$9+1,1))</f>
        <v>474.39725570496114</v>
      </c>
      <c r="T69" s="59">
        <f t="shared" ref="T69:T132" si="88">$T$3</f>
        <v>196.13536593828755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8.3753378072549971</v>
      </c>
      <c r="AA69" s="21">
        <f>EXP(-LN(2)/25)*AA68+(1-EXP(-LN(2)/25))/(LN(2)/25)*Calculateur!V69*Calculateur!X69*VLOOKUP('Données projet'!$B$9,Paramètres!$A$1:$I$89,3,0)*0.475*44/12</f>
        <v>6.4147132525149253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14.790051059769922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</v>
      </c>
      <c r="AI69" s="13">
        <f>IF('Données projet'!$A$62&gt;35,AI68+AH69-AQ68,IF(A69&lt;'Données projet'!$A$62,$AF$205^A69,IF(A69='Données projet'!$A$62,'Données projet'!$B$62,AI68+AH69-AQ68)))</f>
        <v>291.00000000000017</v>
      </c>
      <c r="AJ69" s="13">
        <f>AI69*VLOOKUP('Données projet'!$B$10,Paramètres!$A$1:$I$89,3,0)*VLOOKUP('Données projet'!$B$10,Paramètres!$A$1:$I$89,5,0)</f>
        <v>226.98000000000013</v>
      </c>
      <c r="AK69" s="13">
        <f t="shared" ref="AK69:AK132" si="89">EXP(-1.0587+0.8836*LN(AJ69)+0.284)</f>
        <v>55.629185455335978</v>
      </c>
      <c r="AL69" s="20">
        <f t="shared" si="58"/>
        <v>492.21099800137699</v>
      </c>
      <c r="AM69" s="59">
        <f t="shared" si="59"/>
        <v>756.66405711856407</v>
      </c>
      <c r="AN69" s="59">
        <f ca="1">AVERAGE(OFFSET($AM$3,0,0,'Données projet'!$E$10+1,1))-AVERAGE(OFFSET($H$3,0,0,'Données projet'!$E$10+1,1))</f>
        <v>381.55743422692029</v>
      </c>
      <c r="AO69" s="59">
        <f t="shared" ref="AO69:AO132" si="90">$AO$3</f>
        <v>360.34132229290537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24.294078192509716</v>
      </c>
      <c r="AV69" s="21">
        <f>EXP(-LN(2)/25)*AV68+(1-EXP(-LN(2)/25))/(LN(2)/25)*Calculateur!AQ69*Calculateur!AS69*VLOOKUP('Données projet'!$B$10,Paramètres!$A$1:$I$89,3,0)*0.475*44/12</f>
        <v>30.19683366528233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54.490911857792042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-70</v>
      </c>
      <c r="BE69" s="13">
        <f>BD69*VLOOKUP('Données projet'!$B$11,Paramètres!$A$1:$I$89,3,0)*VLOOKUP('Données projet'!$B$11,Paramètres!$A$1:$I$89,5,0)</f>
        <v>-56.783999999999999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99.41315989132292</v>
      </c>
      <c r="BJ69" s="59">
        <f t="shared" ref="BJ69:BJ132" si="92">$BJ$3</f>
        <v>111.63051055870588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43.891368210204917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43.891368210204917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8.125</v>
      </c>
      <c r="N70" s="13">
        <f>IF('Données projet'!$A$36&gt;35,N69+M70-V69,IF(A70&lt;'Données projet'!$A$36,$K$205^A70,IF(A70='Données projet'!$A$36,'Données projet'!$B$36,N69+M70-V69)))</f>
        <v>160.75000000000009</v>
      </c>
      <c r="O70" s="13">
        <f>N70*VLOOKUP('Données projet'!$B$9,Paramètres!$A$1:$I$89,3,0)*VLOOKUP('Données projet'!$B$9,Paramètres!$A$1:$I$89,5,0)</f>
        <v>145.44660000000007</v>
      </c>
      <c r="P70" s="13">
        <f t="shared" si="87"/>
        <v>37.541959982235134</v>
      </c>
      <c r="Q70" s="20">
        <f t="shared" si="54"/>
        <v>318.70507530239303</v>
      </c>
      <c r="R70" s="59">
        <f t="shared" si="55"/>
        <v>583.65914261060993</v>
      </c>
      <c r="S70" s="59">
        <f ca="1">AVERAGE(OFFSET($R$3,0,0,'Données projet'!$E$9+1,1))-AVERAGE(OFFSET($H$3,0,0,'Données projet'!$E$9+1,1))</f>
        <v>474.39725570496114</v>
      </c>
      <c r="T70" s="59">
        <f t="shared" si="88"/>
        <v>196.13536593828755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8.2111025413063707</v>
      </c>
      <c r="AA70" s="21">
        <f>EXP(-LN(2)/25)*AA69+(1-EXP(-LN(2)/25))/(LN(2)/25)*Calculateur!V70*Calculateur!X70*VLOOKUP('Données projet'!$B$9,Paramètres!$A$1:$I$89,3,0)*0.475*44/12</f>
        <v>6.2393025812897953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14.450405122596166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</v>
      </c>
      <c r="AI70" s="13">
        <f>IF('Données projet'!$A$62&gt;35,AI69+AH70-AQ69,IF(A70&lt;'Données projet'!$A$62,$AF$205^A70,IF(A70='Données projet'!$A$62,'Données projet'!$B$62,AI69+AH70-AQ69)))</f>
        <v>300.00000000000017</v>
      </c>
      <c r="AJ70" s="13">
        <f>AI70*VLOOKUP('Données projet'!$B$10,Paramètres!$A$1:$I$89,3,0)*VLOOKUP('Données projet'!$B$10,Paramètres!$A$1:$I$89,5,0)</f>
        <v>234.00000000000014</v>
      </c>
      <c r="AK70" s="13">
        <f t="shared" si="89"/>
        <v>57.14670524255714</v>
      </c>
      <c r="AL70" s="20">
        <f t="shared" si="58"/>
        <v>507.08051163078727</v>
      </c>
      <c r="AM70" s="59">
        <f t="shared" si="59"/>
        <v>772.03457893900418</v>
      </c>
      <c r="AN70" s="59">
        <f ca="1">AVERAGE(OFFSET($AM$3,0,0,'Données projet'!$E$10+1,1))-AVERAGE(OFFSET($H$3,0,0,'Données projet'!$E$10+1,1))</f>
        <v>381.55743422692029</v>
      </c>
      <c r="AO70" s="59">
        <f t="shared" si="90"/>
        <v>360.34132229290537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23.81768613707915</v>
      </c>
      <c r="AV70" s="21">
        <f>EXP(-LN(2)/25)*AV69+(1-EXP(-LN(2)/25))/(LN(2)/25)*Calculateur!AQ70*Calculateur!AS70*VLOOKUP('Données projet'!$B$10,Paramètres!$A$1:$I$89,3,0)*0.475*44/12</f>
        <v>29.37109966072272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53.18878579780187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-70</v>
      </c>
      <c r="BE70" s="13">
        <f>BD70*VLOOKUP('Données projet'!$B$11,Paramètres!$A$1:$I$89,3,0)*VLOOKUP('Données projet'!$B$11,Paramètres!$A$1:$I$89,5,0)</f>
        <v>-56.783999999999999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99.41315989132292</v>
      </c>
      <c r="BJ70" s="59">
        <f t="shared" si="92"/>
        <v>111.63051055870588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43.030685250693978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43.030685250693978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8.125</v>
      </c>
      <c r="N71" s="13">
        <f>IF('Données projet'!$A$36&gt;35,N70+M71-V70,IF(A71&lt;'Données projet'!$A$36,$K$205^A71,IF(A71='Données projet'!$A$36,'Données projet'!$B$36,N70+M71-V70)))</f>
        <v>168.87500000000009</v>
      </c>
      <c r="O71" s="13">
        <f>N71*VLOOKUP('Données projet'!$B$9,Paramètres!$A$1:$I$89,3,0)*VLOOKUP('Données projet'!$B$9,Paramètres!$A$1:$I$89,5,0)</f>
        <v>152.79810000000009</v>
      </c>
      <c r="P71" s="13">
        <f t="shared" si="87"/>
        <v>39.213778282570935</v>
      </c>
      <c r="Q71" s="20">
        <f t="shared" si="54"/>
        <v>334.42068800881117</v>
      </c>
      <c r="R71" s="59">
        <f t="shared" si="55"/>
        <v>599.86707213602995</v>
      </c>
      <c r="S71" s="59">
        <f ca="1">AVERAGE(OFFSET($R$3,0,0,'Données projet'!$E$9+1,1))-AVERAGE(OFFSET($H$3,0,0,'Données projet'!$E$9+1,1))</f>
        <v>474.39725570496114</v>
      </c>
      <c r="T71" s="59">
        <f t="shared" si="88"/>
        <v>196.13536593828755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8.0500878287493762</v>
      </c>
      <c r="AA71" s="21">
        <f>EXP(-LN(2)/25)*AA70+(1-EXP(-LN(2)/25))/(LN(2)/25)*Calculateur!V71*Calculateur!X71*VLOOKUP('Données projet'!$B$9,Paramètres!$A$1:$I$89,3,0)*0.475*44/12</f>
        <v>6.0686885240937629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14.118776352843138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</v>
      </c>
      <c r="AI71" s="13">
        <f>IF('Données projet'!$A$62&gt;35,AI70+AH71-AQ70,IF(A71&lt;'Données projet'!$A$62,$AF$205^A71,IF(A71='Données projet'!$A$62,'Données projet'!$B$62,AI70+AH71-AQ70)))</f>
        <v>309.00000000000017</v>
      </c>
      <c r="AJ71" s="13">
        <f>AI71*VLOOKUP('Données projet'!$B$10,Paramètres!$A$1:$I$89,3,0)*VLOOKUP('Données projet'!$B$10,Paramètres!$A$1:$I$89,5,0)</f>
        <v>241.02000000000015</v>
      </c>
      <c r="AK71" s="13">
        <f t="shared" si="89"/>
        <v>58.658934253765338</v>
      </c>
      <c r="AL71" s="20">
        <f t="shared" si="58"/>
        <v>521.94081049197484</v>
      </c>
      <c r="AM71" s="59">
        <f t="shared" si="59"/>
        <v>787.38719461919368</v>
      </c>
      <c r="AN71" s="59">
        <f ca="1">AVERAGE(OFFSET($AM$3,0,0,'Données projet'!$E$10+1,1))-AVERAGE(OFFSET($H$3,0,0,'Données projet'!$E$10+1,1))</f>
        <v>381.55743422692029</v>
      </c>
      <c r="AO71" s="59">
        <f t="shared" si="90"/>
        <v>360.34132229290537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23.350635839285115</v>
      </c>
      <c r="AV71" s="21">
        <f>EXP(-LN(2)/25)*AV70+(1-EXP(-LN(2)/25))/(LN(2)/25)*Calculateur!AQ71*Calculateur!AS71*VLOOKUP('Données projet'!$B$10,Paramètres!$A$1:$I$89,3,0)*0.475*44/12</f>
        <v>28.567945395941255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51.91858123522637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-70</v>
      </c>
      <c r="BE71" s="13">
        <f>BD71*VLOOKUP('Données projet'!$B$11,Paramètres!$A$1:$I$89,3,0)*VLOOKUP('Données projet'!$B$11,Paramètres!$A$1:$I$89,5,0)</f>
        <v>-56.783999999999999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99.41315989132292</v>
      </c>
      <c r="BJ71" s="59">
        <f t="shared" si="92"/>
        <v>111.63051055870588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42.186879759054285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42.186879759054285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177</v>
      </c>
      <c r="L72" s="12">
        <f>VLOOKUP(A72,'Données projet'!$A$35:$I$55,9,0)</f>
        <v>8.125</v>
      </c>
      <c r="M72" s="12">
        <f t="array" ref="M72">INDEX(L:L,MIN(IF(ISNUMBER(L72:L268),ROW(L72:L268),"")))</f>
        <v>8.125</v>
      </c>
      <c r="N72" s="13">
        <f>IF('Données projet'!$A$36&gt;35,N71+M72-V71,IF(A72&lt;'Données projet'!$A$36,$K$205^A72,IF(A72='Données projet'!$A$36,'Données projet'!$B$36,N71+M72-V71)))</f>
        <v>177.00000000000009</v>
      </c>
      <c r="O72" s="13">
        <f>N72*VLOOKUP('Données projet'!$B$9,Paramètres!$A$1:$I$89,3,0)*VLOOKUP('Données projet'!$B$9,Paramètres!$A$1:$I$89,5,0)</f>
        <v>160.14960000000008</v>
      </c>
      <c r="P72" s="13">
        <f t="shared" si="87"/>
        <v>40.876256268741535</v>
      </c>
      <c r="Q72" s="20">
        <f t="shared" si="54"/>
        <v>350.12003300139162</v>
      </c>
      <c r="R72" s="59">
        <f t="shared" si="55"/>
        <v>616.05019335145812</v>
      </c>
      <c r="S72" s="59">
        <f ca="1">AVERAGE(OFFSET($R$3,0,0,'Données projet'!$E$9+1,1))-AVERAGE(OFFSET($H$3,0,0,'Données projet'!$E$9+1,1))</f>
        <v>474.39725570496114</v>
      </c>
      <c r="T72" s="59">
        <f t="shared" si="88"/>
        <v>196.13536593828755</v>
      </c>
      <c r="U72" s="15">
        <f>IF(ISNA(VLOOKUP(A72,'Données projet'!$A$35:$I$55,3,0)),0,VLOOKUP(A72,'Données projet'!$A$35:$I$55,3,0))</f>
        <v>4</v>
      </c>
      <c r="V72" s="15">
        <f>IF(ISNA(VLOOKUP(A72,'Données projet'!$A$35:$I$55,4,0)),0,VLOOKUP(A72,'Données projet'!$A$35:$I$55,4,0))</f>
        <v>40</v>
      </c>
      <c r="W72" s="16">
        <f>IF(ISNA(VLOOKUP(A72,'Données projet'!$A$35:$I$55,5,0)),0%,VLOOKUP(A72,'Données projet'!$A$35:$I$55,5,0)*VLOOKUP('Données projet'!$B$9,Paramètres!$A$1:$I$89,7,0))</f>
        <v>0.215</v>
      </c>
      <c r="X72" s="16">
        <f>IF(ISNA(VLOOKUP(A72,'Données projet'!$A$35:$I$55,6,0)),0%,VLOOKUP(A72,'Données projet'!$A$35:$I$55,6,0)*VLOOKUP('Données projet'!$B$9,Paramètres!$A$1:$I$89,7,0))</f>
        <v>0.17200000000000001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16.4942050713485</v>
      </c>
      <c r="AA72" s="21">
        <f>EXP(-LN(2)/25)*AA71+(1-EXP(-LN(2)/25))/(LN(2)/25)*Calculateur!V72*Calculateur!X72*VLOOKUP('Données projet'!$B$9,Paramètres!$A$1:$I$89,3,0)*0.475*44/12</f>
        <v>12.757224160000309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29.251429231348808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</v>
      </c>
      <c r="AI72" s="13">
        <f>IF('Données projet'!$A$62&gt;35,AI71+AH72-AQ71,IF(A72&lt;'Données projet'!$A$62,$AF$205^A72,IF(A72='Données projet'!$A$62,'Données projet'!$B$62,AI71+AH72-AQ71)))</f>
        <v>318.00000000000017</v>
      </c>
      <c r="AJ72" s="13">
        <f>AI72*VLOOKUP('Données projet'!$B$10,Paramètres!$A$1:$I$89,3,0)*VLOOKUP('Données projet'!$B$10,Paramètres!$A$1:$I$89,5,0)</f>
        <v>248.04000000000013</v>
      </c>
      <c r="AK72" s="13">
        <f t="shared" si="89"/>
        <v>60.166044284441391</v>
      </c>
      <c r="AL72" s="20">
        <f t="shared" si="58"/>
        <v>536.79219379540234</v>
      </c>
      <c r="AM72" s="59">
        <f t="shared" si="59"/>
        <v>802.7223541454689</v>
      </c>
      <c r="AN72" s="59">
        <f ca="1">AVERAGE(OFFSET($AM$3,0,0,'Données projet'!$E$10+1,1))-AVERAGE(OFFSET($H$3,0,0,'Données projet'!$E$10+1,1))</f>
        <v>381.55743422692029</v>
      </c>
      <c r="AO72" s="59">
        <f t="shared" si="90"/>
        <v>360.34132229290537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22.892744112958269</v>
      </c>
      <c r="AV72" s="21">
        <f>EXP(-LN(2)/25)*AV71+(1-EXP(-LN(2)/25))/(LN(2)/25)*Calculateur!AQ72*Calculateur!AS72*VLOOKUP('Données projet'!$B$10,Paramètres!$A$1:$I$89,3,0)*0.475*44/12</f>
        <v>27.786753426766285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50.679497539724551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-70</v>
      </c>
      <c r="BE72" s="13">
        <f>BD72*VLOOKUP('Données projet'!$B$11,Paramètres!$A$1:$I$89,3,0)*VLOOKUP('Données projet'!$B$11,Paramètres!$A$1:$I$89,5,0)</f>
        <v>-56.783999999999999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99.41315989132292</v>
      </c>
      <c r="BJ72" s="59">
        <f t="shared" si="92"/>
        <v>111.63051055870588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41.359620778435115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41.359620778435115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7.125</v>
      </c>
      <c r="N73" s="13">
        <f>IF('Données projet'!$A$36&gt;35,N72+M73-V72,IF(A73&lt;'Données projet'!$A$36,$K$205^A73,IF(A73='Données projet'!$A$36,'Données projet'!$B$36,N72+M73-V72)))</f>
        <v>144.12500000000009</v>
      </c>
      <c r="O73" s="13">
        <f>N73*VLOOKUP('Données projet'!$B$9,Paramètres!$A$1:$I$89,3,0)*VLOOKUP('Données projet'!$B$9,Paramètres!$A$1:$I$89,5,0)</f>
        <v>130.40430000000006</v>
      </c>
      <c r="P73" s="13">
        <f t="shared" si="87"/>
        <v>34.089764301804081</v>
      </c>
      <c r="Q73" s="20">
        <f t="shared" si="54"/>
        <v>286.49382865897553</v>
      </c>
      <c r="R73" s="59">
        <f t="shared" si="55"/>
        <v>552.89937279598507</v>
      </c>
      <c r="S73" s="59">
        <f ca="1">AVERAGE(OFFSET($R$3,0,0,'Données projet'!$E$9+1,1))-AVERAGE(OFFSET($H$3,0,0,'Données projet'!$E$9+1,1))</f>
        <v>474.39725570496114</v>
      </c>
      <c r="T73" s="59">
        <f t="shared" si="88"/>
        <v>196.13536593828755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16.17076377037106</v>
      </c>
      <c r="AA73" s="21">
        <f>EXP(-LN(2)/25)*AA72+(1-EXP(-LN(2)/25))/(LN(2)/25)*Calculateur!V73*Calculateur!X73*VLOOKUP('Données projet'!$B$9,Paramètres!$A$1:$I$89,3,0)*0.475*44/12</f>
        <v>12.408377194471839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28.5791409648429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327</v>
      </c>
      <c r="AG73" s="12">
        <f>VLOOKUP(A73,'Données projet'!$A$61:$I$81,9,0)</f>
        <v>9</v>
      </c>
      <c r="AH73" s="12">
        <f t="array" ref="AH73">INDEX(AG:AG,MIN(IF(ISNUMBER(AG73:AG269),ROW(AG73:AG269),"")))</f>
        <v>9</v>
      </c>
      <c r="AI73" s="13">
        <f>IF('Données projet'!$A$62&gt;35,AI72+AH73-AQ72,IF(A73&lt;'Données projet'!$A$62,$AF$205^A73,IF(A73='Données projet'!$A$62,'Données projet'!$B$62,AI72+AH73-AQ72)))</f>
        <v>327.00000000000017</v>
      </c>
      <c r="AJ73" s="13">
        <f>AI73*VLOOKUP('Données projet'!$B$10,Paramètres!$A$1:$I$89,3,0)*VLOOKUP('Données projet'!$B$10,Paramètres!$A$1:$I$89,5,0)</f>
        <v>255.06000000000014</v>
      </c>
      <c r="AK73" s="13">
        <f t="shared" si="89"/>
        <v>61.668196852621989</v>
      </c>
      <c r="AL73" s="20">
        <f t="shared" si="58"/>
        <v>551.63494285165018</v>
      </c>
      <c r="AM73" s="59">
        <f t="shared" si="59"/>
        <v>818.04048698865972</v>
      </c>
      <c r="AN73" s="59">
        <f ca="1">AVERAGE(OFFSET($AM$3,0,0,'Données projet'!$E$10+1,1))-AVERAGE(OFFSET($H$3,0,0,'Données projet'!$E$10+1,1))</f>
        <v>381.55743422692029</v>
      </c>
      <c r="AO73" s="59">
        <f t="shared" si="90"/>
        <v>360.34132229290537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0.215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28.376227608823939</v>
      </c>
      <c r="AV73" s="21">
        <f>EXP(-LN(2)/25)*AV72+(1-EXP(-LN(2)/25))/(LN(2)/25)*Calculateur!AQ73*Calculateur!AS73*VLOOKUP('Données projet'!$B$10,Paramètres!$A$1:$I$89,3,0)*0.475*44/12</f>
        <v>32.935961333359465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61.312188942183404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-70</v>
      </c>
      <c r="BE73" s="13">
        <f>BD73*VLOOKUP('Données projet'!$B$11,Paramètres!$A$1:$I$89,3,0)*VLOOKUP('Données projet'!$B$11,Paramètres!$A$1:$I$89,5,0)</f>
        <v>-56.783999999999999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99.41315989132292</v>
      </c>
      <c r="BJ73" s="59">
        <f t="shared" si="92"/>
        <v>111.63051055870588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40.54858384184773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40.54858384184773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7.125</v>
      </c>
      <c r="N74" s="13">
        <f>IF('Données projet'!$A$36&gt;35,N73+M74-V73,IF(A74&lt;'Données projet'!$A$36,$K$205^A74,IF(A74='Données projet'!$A$36,'Données projet'!$B$36,N73+M74-V73)))</f>
        <v>151.25000000000009</v>
      </c>
      <c r="O74" s="13">
        <f>N74*VLOOKUP('Données projet'!$B$9,Paramètres!$A$1:$I$89,3,0)*VLOOKUP('Données projet'!$B$9,Paramètres!$A$1:$I$89,5,0)</f>
        <v>136.85100000000006</v>
      </c>
      <c r="P74" s="13">
        <f t="shared" si="87"/>
        <v>35.574661452157265</v>
      </c>
      <c r="Q74" s="20">
        <f t="shared" si="54"/>
        <v>300.30802702917401</v>
      </c>
      <c r="R74" s="59">
        <f t="shared" si="55"/>
        <v>567.18070810722202</v>
      </c>
      <c r="S74" s="59">
        <f ca="1">AVERAGE(OFFSET($R$3,0,0,'Données projet'!$E$9+1,1))-AVERAGE(OFFSET($H$3,0,0,'Données projet'!$E$9+1,1))</f>
        <v>474.39725570496114</v>
      </c>
      <c r="T74" s="59">
        <f t="shared" si="88"/>
        <v>196.13536593828755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15.853664956026075</v>
      </c>
      <c r="AA74" s="21">
        <f>EXP(-LN(2)/25)*AA73+(1-EXP(-LN(2)/25))/(LN(2)/25)*Calculateur!V74*Calculateur!X74*VLOOKUP('Données projet'!$B$9,Paramètres!$A$1:$I$89,3,0)*0.475*44/12</f>
        <v>12.06906946756081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27.922734423586885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</v>
      </c>
      <c r="AI74" s="13">
        <f>IF('Données projet'!$A$62&gt;35,AI73+AH74-AQ73,IF(A74&lt;'Données projet'!$A$62,$AF$205^A74,IF(A74='Données projet'!$A$62,'Données projet'!$B$62,AI73+AH74-AQ73)))</f>
        <v>304.00000000000017</v>
      </c>
      <c r="AJ74" s="13">
        <f>AI74*VLOOKUP('Données projet'!$B$10,Paramètres!$A$1:$I$89,3,0)*VLOOKUP('Données projet'!$B$10,Paramètres!$A$1:$I$89,5,0)</f>
        <v>237.12000000000015</v>
      </c>
      <c r="AK74" s="13">
        <f t="shared" si="89"/>
        <v>57.819449746919268</v>
      </c>
      <c r="AL74" s="20">
        <f t="shared" si="58"/>
        <v>513.68620830921793</v>
      </c>
      <c r="AM74" s="59">
        <f t="shared" si="59"/>
        <v>780.55888938726594</v>
      </c>
      <c r="AN74" s="59">
        <f ca="1">AVERAGE(OFFSET($AM$3,0,0,'Données projet'!$E$10+1,1))-AVERAGE(OFFSET($H$3,0,0,'Données projet'!$E$10+1,1))</f>
        <v>381.55743422692029</v>
      </c>
      <c r="AO74" s="59">
        <f t="shared" si="90"/>
        <v>360.34132229290537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27.819787093204742</v>
      </c>
      <c r="AV74" s="21">
        <f>EXP(-LN(2)/25)*AV73+(1-EXP(-LN(2)/25))/(LN(2)/25)*Calculateur!AQ74*Calculateur!AS74*VLOOKUP('Données projet'!$B$10,Paramètres!$A$1:$I$89,3,0)*0.475*44/12</f>
        <v>32.035325738671823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59.855112831876568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-70</v>
      </c>
      <c r="BE74" s="13">
        <f>BD74*VLOOKUP('Données projet'!$B$11,Paramètres!$A$1:$I$89,3,0)*VLOOKUP('Données projet'!$B$11,Paramètres!$A$1:$I$89,5,0)</f>
        <v>-56.783999999999999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99.41315989132292</v>
      </c>
      <c r="BJ74" s="59">
        <f t="shared" si="92"/>
        <v>111.63051055870588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39.753450844903135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39.753450844903135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7.125</v>
      </c>
      <c r="N75" s="13">
        <f>IF('Données projet'!$A$36&gt;35,N74+M75-V74,IF(A75&lt;'Données projet'!$A$36,$K$205^A75,IF(A75='Données projet'!$A$36,'Données projet'!$B$36,N74+M75-V74)))</f>
        <v>158.37500000000009</v>
      </c>
      <c r="O75" s="13">
        <f>N75*VLOOKUP('Données projet'!$B$9,Paramètres!$A$1:$I$89,3,0)*VLOOKUP('Données projet'!$B$9,Paramètres!$A$1:$I$89,5,0)</f>
        <v>143.29770000000008</v>
      </c>
      <c r="P75" s="13">
        <f t="shared" si="87"/>
        <v>37.05143556739683</v>
      </c>
      <c r="Q75" s="20">
        <f t="shared" si="54"/>
        <v>314.10807777988293</v>
      </c>
      <c r="R75" s="59">
        <f t="shared" si="55"/>
        <v>581.43979201740399</v>
      </c>
      <c r="S75" s="59">
        <f ca="1">AVERAGE(OFFSET($R$3,0,0,'Données projet'!$E$9+1,1))-AVERAGE(OFFSET($H$3,0,0,'Données projet'!$E$9+1,1))</f>
        <v>474.39725570496114</v>
      </c>
      <c r="T75" s="59">
        <f t="shared" si="88"/>
        <v>196.13536593828755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15.542784256019214</v>
      </c>
      <c r="AA75" s="21">
        <f>EXP(-LN(2)/25)*AA74+(1-EXP(-LN(2)/25))/(LN(2)/25)*Calculateur!V75*Calculateur!X75*VLOOKUP('Données projet'!$B$9,Paramètres!$A$1:$I$89,3,0)*0.475*44/12</f>
        <v>11.739040128285581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27.281824384304795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</v>
      </c>
      <c r="AI75" s="13">
        <f>IF('Données projet'!$A$62&gt;35,AI74+AH75-AQ74,IF(A75&lt;'Données projet'!$A$62,$AF$205^A75,IF(A75='Données projet'!$A$62,'Données projet'!$B$62,AI74+AH75-AQ74)))</f>
        <v>313.00000000000017</v>
      </c>
      <c r="AJ75" s="13">
        <f>AI75*VLOOKUP('Données projet'!$B$10,Paramètres!$A$1:$I$89,3,0)*VLOOKUP('Données projet'!$B$10,Paramètres!$A$1:$I$89,5,0)</f>
        <v>244.14000000000013</v>
      </c>
      <c r="AK75" s="13">
        <f t="shared" si="89"/>
        <v>59.329383078866108</v>
      </c>
      <c r="AL75" s="20">
        <f t="shared" si="58"/>
        <v>528.54250886235877</v>
      </c>
      <c r="AM75" s="59">
        <f t="shared" si="59"/>
        <v>795.87422309987983</v>
      </c>
      <c r="AN75" s="59">
        <f ca="1">AVERAGE(OFFSET($AM$3,0,0,'Données projet'!$E$10+1,1))-AVERAGE(OFFSET($H$3,0,0,'Données projet'!$E$10+1,1))</f>
        <v>381.55743422692029</v>
      </c>
      <c r="AO75" s="59">
        <f t="shared" si="90"/>
        <v>360.34132229290537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27.274258036701635</v>
      </c>
      <c r="AV75" s="21">
        <f>EXP(-LN(2)/25)*AV74+(1-EXP(-LN(2)/25))/(LN(2)/25)*Calculateur!AQ75*Calculateur!AS75*VLOOKUP('Données projet'!$B$10,Paramètres!$A$1:$I$89,3,0)*0.475*44/12</f>
        <v>31.15931807168328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58.433576108384912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-70</v>
      </c>
      <c r="BE75" s="13">
        <f>BD75*VLOOKUP('Données projet'!$B$11,Paramètres!$A$1:$I$89,3,0)*VLOOKUP('Données projet'!$B$11,Paramètres!$A$1:$I$89,5,0)</f>
        <v>-56.783999999999999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99.41315989132292</v>
      </c>
      <c r="BJ75" s="59">
        <f t="shared" si="92"/>
        <v>111.63051055870588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38.97390992104539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38.97390992104539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7.125</v>
      </c>
      <c r="N76" s="13">
        <f>IF('Données projet'!$A$36&gt;35,N75+M76-V75,IF(A76&lt;'Données projet'!$A$36,$K$205^A76,IF(A76='Données projet'!$A$36,'Données projet'!$B$36,N75+M76-V75)))</f>
        <v>165.50000000000009</v>
      </c>
      <c r="O76" s="13">
        <f>N76*VLOOKUP('Données projet'!$B$9,Paramètres!$A$1:$I$89,3,0)*VLOOKUP('Données projet'!$B$9,Paramètres!$A$1:$I$89,5,0)</f>
        <v>149.74440000000007</v>
      </c>
      <c r="P76" s="13">
        <f t="shared" si="87"/>
        <v>38.520493839458773</v>
      </c>
      <c r="Q76" s="20">
        <f t="shared" si="54"/>
        <v>327.89469010372414</v>
      </c>
      <c r="R76" s="59">
        <f t="shared" si="55"/>
        <v>595.67747430164593</v>
      </c>
      <c r="S76" s="59">
        <f ca="1">AVERAGE(OFFSET($R$3,0,0,'Données projet'!$E$9+1,1))-AVERAGE(OFFSET($H$3,0,0,'Données projet'!$E$9+1,1))</f>
        <v>474.39725570496114</v>
      </c>
      <c r="T76" s="59">
        <f t="shared" si="88"/>
        <v>196.13536593828755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15.237999736920985</v>
      </c>
      <c r="AA76" s="21">
        <f>EXP(-LN(2)/25)*AA75+(1-EXP(-LN(2)/25))/(LN(2)/25)*Calculateur!V76*Calculateur!X76*VLOOKUP('Données projet'!$B$9,Paramètres!$A$1:$I$89,3,0)*0.475*44/12</f>
        <v>11.418035458648321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26.656035195569306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</v>
      </c>
      <c r="AI76" s="13">
        <f>IF('Données projet'!$A$62&gt;35,AI75+AH76-AQ75,IF(A76&lt;'Données projet'!$A$62,$AF$205^A76,IF(A76='Données projet'!$A$62,'Données projet'!$B$62,AI75+AH76-AQ75)))</f>
        <v>322.00000000000017</v>
      </c>
      <c r="AJ76" s="13">
        <f>AI76*VLOOKUP('Données projet'!$B$10,Paramètres!$A$1:$I$89,3,0)*VLOOKUP('Données projet'!$B$10,Paramètres!$A$1:$I$89,5,0)</f>
        <v>251.16000000000014</v>
      </c>
      <c r="AK76" s="13">
        <f t="shared" si="89"/>
        <v>60.834270430141594</v>
      </c>
      <c r="AL76" s="20">
        <f t="shared" si="58"/>
        <v>543.39002099916354</v>
      </c>
      <c r="AM76" s="59">
        <f t="shared" si="59"/>
        <v>811.17280519708538</v>
      </c>
      <c r="AN76" s="59">
        <f ca="1">AVERAGE(OFFSET($AM$3,0,0,'Données projet'!$E$10+1,1))-AVERAGE(OFFSET($H$3,0,0,'Données projet'!$E$10+1,1))</f>
        <v>381.55743422692029</v>
      </c>
      <c r="AO76" s="59">
        <f t="shared" si="90"/>
        <v>360.34132229290537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26.739426472256685</v>
      </c>
      <c r="AV76" s="21">
        <f>EXP(-LN(2)/25)*AV75+(1-EXP(-LN(2)/25))/(LN(2)/25)*Calculateur!AQ76*Calculateur!AS76*VLOOKUP('Données projet'!$B$10,Paramètres!$A$1:$I$89,3,0)*0.475*44/12</f>
        <v>30.307264880415779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57.046691352672468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-70</v>
      </c>
      <c r="BE76" s="13">
        <f>BD76*VLOOKUP('Données projet'!$B$11,Paramètres!$A$1:$I$89,3,0)*VLOOKUP('Données projet'!$B$11,Paramètres!$A$1:$I$89,5,0)</f>
        <v>-56.783999999999999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99.41315989132292</v>
      </c>
      <c r="BJ76" s="59">
        <f t="shared" si="92"/>
        <v>111.63051055870588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38.20965531923148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38.20965531923148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7.125</v>
      </c>
      <c r="N77" s="13">
        <f>IF('Données projet'!$A$36&gt;35,N76+M77-V76,IF(A77&lt;'Données projet'!$A$36,$K$205^A77,IF(A77='Données projet'!$A$36,'Données projet'!$B$36,N76+M77-V76)))</f>
        <v>172.62500000000009</v>
      </c>
      <c r="O77" s="13">
        <f>N77*VLOOKUP('Données projet'!$B$9,Paramètres!$A$1:$I$89,3,0)*VLOOKUP('Données projet'!$B$9,Paramètres!$A$1:$I$89,5,0)</f>
        <v>156.19110000000006</v>
      </c>
      <c r="P77" s="13">
        <f t="shared" si="87"/>
        <v>39.982206417081535</v>
      </c>
      <c r="Q77" s="20">
        <f t="shared" si="54"/>
        <v>341.6685086764171</v>
      </c>
      <c r="R77" s="59">
        <f t="shared" si="55"/>
        <v>609.89453777936797</v>
      </c>
      <c r="S77" s="59">
        <f ca="1">AVERAGE(OFFSET($R$3,0,0,'Données projet'!$E$9+1,1))-AVERAGE(OFFSET($H$3,0,0,'Données projet'!$E$9+1,1))</f>
        <v>474.39725570496114</v>
      </c>
      <c r="T77" s="59">
        <f t="shared" si="88"/>
        <v>196.13536593828755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14.939191856342072</v>
      </c>
      <c r="AA77" s="21">
        <f>EXP(-LN(2)/25)*AA76+(1-EXP(-LN(2)/25))/(LN(2)/25)*Calculateur!V77*Calculateur!X77*VLOOKUP('Données projet'!$B$9,Paramètres!$A$1:$I$89,3,0)*0.475*44/12</f>
        <v>11.105808678583195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26.045000534925265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</v>
      </c>
      <c r="AI77" s="13">
        <f>IF('Données projet'!$A$62&gt;35,AI76+AH77-AQ76,IF(A77&lt;'Données projet'!$A$62,$AF$205^A77,IF(A77='Données projet'!$A$62,'Données projet'!$B$62,AI76+AH77-AQ76)))</f>
        <v>331.00000000000017</v>
      </c>
      <c r="AJ77" s="13">
        <f>AI77*VLOOKUP('Données projet'!$B$10,Paramètres!$A$1:$I$89,3,0)*VLOOKUP('Données projet'!$B$10,Paramètres!$A$1:$I$89,5,0)</f>
        <v>258.18000000000012</v>
      </c>
      <c r="AK77" s="13">
        <f t="shared" si="89"/>
        <v>62.334269039770149</v>
      </c>
      <c r="AL77" s="20">
        <f t="shared" si="58"/>
        <v>558.22901857759996</v>
      </c>
      <c r="AM77" s="59">
        <f t="shared" si="59"/>
        <v>826.45504768055082</v>
      </c>
      <c r="AN77" s="59">
        <f ca="1">AVERAGE(OFFSET($AM$3,0,0,'Données projet'!$E$10+1,1))-AVERAGE(OFFSET($H$3,0,0,'Données projet'!$E$10+1,1))</f>
        <v>381.55743422692029</v>
      </c>
      <c r="AO77" s="59">
        <f t="shared" si="90"/>
        <v>360.34132229290537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26.215082628575455</v>
      </c>
      <c r="AV77" s="21">
        <f>EXP(-LN(2)/25)*AV76+(1-EXP(-LN(2)/25))/(LN(2)/25)*Calculateur!AQ77*Calculateur!AS77*VLOOKUP('Données projet'!$B$10,Paramètres!$A$1:$I$89,3,0)*0.475*44/12</f>
        <v>29.47851112847102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55.693593757046472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-70</v>
      </c>
      <c r="BE77" s="13">
        <f>BD77*VLOOKUP('Données projet'!$B$11,Paramètres!$A$1:$I$89,3,0)*VLOOKUP('Données projet'!$B$11,Paramètres!$A$1:$I$89,5,0)</f>
        <v>-56.783999999999999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99.41315989132292</v>
      </c>
      <c r="BJ77" s="59">
        <f t="shared" si="92"/>
        <v>111.63051055870588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37.460387284009862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37.460387284009862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7.125</v>
      </c>
      <c r="N78" s="13">
        <f>IF('Données projet'!$A$36&gt;35,N77+M78-V77,IF(A78&lt;'Données projet'!$A$36,$K$205^A78,IF(A78='Données projet'!$A$36,'Données projet'!$B$36,N77+M78-V77)))</f>
        <v>179.75000000000009</v>
      </c>
      <c r="O78" s="13">
        <f>N78*VLOOKUP('Données projet'!$B$9,Paramètres!$A$1:$I$89,3,0)*VLOOKUP('Données projet'!$B$9,Paramètres!$A$1:$I$89,5,0)</f>
        <v>162.63780000000006</v>
      </c>
      <c r="P78" s="13">
        <f t="shared" si="87"/>
        <v>41.436911164755365</v>
      </c>
      <c r="Q78" s="20">
        <f t="shared" si="54"/>
        <v>355.43012194528234</v>
      </c>
      <c r="R78" s="59">
        <f t="shared" si="55"/>
        <v>624.09170664510714</v>
      </c>
      <c r="S78" s="59">
        <f ca="1">AVERAGE(OFFSET($R$3,0,0,'Données projet'!$E$9+1,1))-AVERAGE(OFFSET($H$3,0,0,'Données projet'!$E$9+1,1))</f>
        <v>474.39725570496114</v>
      </c>
      <c r="T78" s="59">
        <f t="shared" si="88"/>
        <v>196.13536593828755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14.6462434160465</v>
      </c>
      <c r="AA78" s="21">
        <f>EXP(-LN(2)/25)*AA77+(1-EXP(-LN(2)/25))/(LN(2)/25)*Calculateur!V78*Calculateur!X78*VLOOKUP('Données projet'!$B$9,Paramètres!$A$1:$I$89,3,0)*0.475*44/12</f>
        <v>10.802119756238241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25.448363172284743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340</v>
      </c>
      <c r="AG78" s="12">
        <f>VLOOKUP(A78,'Données projet'!$A$61:$I$81,9,0)</f>
        <v>9</v>
      </c>
      <c r="AH78" s="12">
        <f t="array" ref="AH78">INDEX(AG:AG,MIN(IF(ISNUMBER(AG78:AG274),ROW(AG78:AG274),"")))</f>
        <v>9</v>
      </c>
      <c r="AI78" s="13">
        <f>IF('Données projet'!$A$62&gt;35,AI77+AH78-AQ77,IF(A78&lt;'Données projet'!$A$62,$AF$205^A78,IF(A78='Données projet'!$A$62,'Données projet'!$B$62,AI77+AH78-AQ77)))</f>
        <v>340.00000000000017</v>
      </c>
      <c r="AJ78" s="13">
        <f>AI78*VLOOKUP('Données projet'!$B$10,Paramètres!$A$1:$I$89,3,0)*VLOOKUP('Données projet'!$B$10,Paramètres!$A$1:$I$89,5,0)</f>
        <v>265.20000000000016</v>
      </c>
      <c r="AK78" s="13">
        <f t="shared" si="89"/>
        <v>63.829527109298382</v>
      </c>
      <c r="AL78" s="20">
        <f t="shared" si="58"/>
        <v>573.05975971536157</v>
      </c>
      <c r="AM78" s="59">
        <f t="shared" si="59"/>
        <v>841.72134441518642</v>
      </c>
      <c r="AN78" s="59">
        <f ca="1">AVERAGE(OFFSET($AM$3,0,0,'Données projet'!$E$10+1,1))-AVERAGE(OFFSET($H$3,0,0,'Données projet'!$E$10+1,1))</f>
        <v>381.55743422692029</v>
      </c>
      <c r="AO78" s="59">
        <f t="shared" si="90"/>
        <v>360.34132229290537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31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37.195038572006546</v>
      </c>
      <c r="AV78" s="21">
        <f>EXP(-LN(2)/25)*AV77+(1-EXP(-LN(2)/25))/(LN(2)/25)*Calculateur!AQ78*Calculateur!AS78*VLOOKUP('Données projet'!$B$10,Paramètres!$A$1:$I$89,3,0)*0.475*44/12</f>
        <v>28.672419691455453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65.867458263461998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-70</v>
      </c>
      <c r="BE78" s="13">
        <f>BD78*VLOOKUP('Données projet'!$B$11,Paramètres!$A$1:$I$89,3,0)*VLOOKUP('Données projet'!$B$11,Paramètres!$A$1:$I$89,5,0)</f>
        <v>-56.783999999999999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99.41315989132292</v>
      </c>
      <c r="BJ78" s="59">
        <f t="shared" si="92"/>
        <v>111.63051055870588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36.72581193795056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36.72581193795056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7.125</v>
      </c>
      <c r="N79" s="13">
        <f>IF('Données projet'!$A$36&gt;35,N78+M79-V78,IF(A79&lt;'Données projet'!$A$36,$K$205^A79,IF(A79='Données projet'!$A$36,'Données projet'!$B$36,N78+M79-V78)))</f>
        <v>186.87500000000009</v>
      </c>
      <c r="O79" s="13">
        <f>N79*VLOOKUP('Données projet'!$B$9,Paramètres!$A$1:$I$89,3,0)*VLOOKUP('Données projet'!$B$9,Paramètres!$A$1:$I$89,5,0)</f>
        <v>169.08450000000008</v>
      </c>
      <c r="P79" s="13">
        <f t="shared" si="87"/>
        <v>42.884917645888443</v>
      </c>
      <c r="Q79" s="20">
        <f t="shared" si="54"/>
        <v>369.18006906658911</v>
      </c>
      <c r="R79" s="59">
        <f t="shared" si="55"/>
        <v>638.26965344743849</v>
      </c>
      <c r="S79" s="59">
        <f ca="1">AVERAGE(OFFSET($R$3,0,0,'Données projet'!$E$9+1,1))-AVERAGE(OFFSET($H$3,0,0,'Données projet'!$E$9+1,1))</f>
        <v>474.39725570496114</v>
      </c>
      <c r="T79" s="59">
        <f t="shared" si="88"/>
        <v>196.13536593828755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14.35903951598422</v>
      </c>
      <c r="AA79" s="21">
        <f>EXP(-LN(2)/25)*AA78+(1-EXP(-LN(2)/25))/(LN(2)/25)*Calculateur!V79*Calculateur!X79*VLOOKUP('Données projet'!$B$9,Paramètres!$A$1:$I$89,3,0)*0.475*44/12</f>
        <v>10.506735223445117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24.865774739429337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</v>
      </c>
      <c r="AI79" s="13">
        <f>IF('Données projet'!$A$62&gt;35,AI78+AH79-AQ78,IF(A79&lt;'Données projet'!$A$62,$AF$205^A79,IF(A79='Données projet'!$A$62,'Données projet'!$B$62,AI78+AH79-AQ78)))</f>
        <v>317.00000000000017</v>
      </c>
      <c r="AJ79" s="13">
        <f>AI79*VLOOKUP('Données projet'!$B$10,Paramètres!$A$1:$I$89,3,0)*VLOOKUP('Données projet'!$B$10,Paramètres!$A$1:$I$89,5,0)</f>
        <v>247.26000000000013</v>
      </c>
      <c r="AK79" s="13">
        <f t="shared" si="89"/>
        <v>59.998835297287229</v>
      </c>
      <c r="AL79" s="20">
        <f t="shared" si="58"/>
        <v>535.14247147610877</v>
      </c>
      <c r="AM79" s="59">
        <f t="shared" si="59"/>
        <v>804.23205585695814</v>
      </c>
      <c r="AN79" s="59">
        <f ca="1">AVERAGE(OFFSET($AM$3,0,0,'Données projet'!$E$10+1,1))-AVERAGE(OFFSET($H$3,0,0,'Données projet'!$E$10+1,1))</f>
        <v>381.55743422692029</v>
      </c>
      <c r="AO79" s="59">
        <f t="shared" si="90"/>
        <v>360.34132229290537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36.465666552342896</v>
      </c>
      <c r="AV79" s="21">
        <f>EXP(-LN(2)/25)*AV78+(1-EXP(-LN(2)/25))/(LN(2)/25)*Calculateur!AQ79*Calculateur!AS79*VLOOKUP('Données projet'!$B$10,Paramètres!$A$1:$I$89,3,0)*0.475*44/12</f>
        <v>27.888370867175585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64.354037419518477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-70</v>
      </c>
      <c r="BE79" s="13">
        <f>BD79*VLOOKUP('Données projet'!$B$11,Paramètres!$A$1:$I$89,3,0)*VLOOKUP('Données projet'!$B$11,Paramètres!$A$1:$I$89,5,0)</f>
        <v>-56.783999999999999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99.41315989132292</v>
      </c>
      <c r="BJ79" s="59">
        <f t="shared" si="92"/>
        <v>111.63051055870588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36.005641166380762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36.005641166380762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194</v>
      </c>
      <c r="L80" s="12">
        <f>VLOOKUP(A80,'Données projet'!$A$35:$I$55,9,0)</f>
        <v>7.125</v>
      </c>
      <c r="M80" s="12">
        <f t="array" ref="M80">INDEX(L:L,MIN(IF(ISNUMBER(L80:L276),ROW(L80:L276),"")))</f>
        <v>7.125</v>
      </c>
      <c r="N80" s="13">
        <f>IF('Données projet'!$A$36&gt;35,N79+M80-V79,IF(A80&lt;'Données projet'!$A$36,$K$205^A80,IF(A80='Données projet'!$A$36,'Données projet'!$B$36,N79+M80-V79)))</f>
        <v>194.00000000000009</v>
      </c>
      <c r="O80" s="13">
        <f>N80*VLOOKUP('Données projet'!$B$9,Paramètres!$A$1:$I$89,3,0)*VLOOKUP('Données projet'!$B$9,Paramètres!$A$1:$I$89,5,0)</f>
        <v>175.53120000000007</v>
      </c>
      <c r="P80" s="13">
        <f t="shared" si="87"/>
        <v>44.326510481422531</v>
      </c>
      <c r="Q80" s="20">
        <f t="shared" si="54"/>
        <v>382.91884575514433</v>
      </c>
      <c r="R80" s="59">
        <f t="shared" si="55"/>
        <v>652.42900497941662</v>
      </c>
      <c r="S80" s="59">
        <f ca="1">AVERAGE(OFFSET($R$3,0,0,'Données projet'!$E$9+1,1))-AVERAGE(OFFSET($H$3,0,0,'Données projet'!$E$9+1,1))</f>
        <v>474.39725570496114</v>
      </c>
      <c r="T80" s="59">
        <f t="shared" si="88"/>
        <v>196.13536593828755</v>
      </c>
      <c r="U80" s="15">
        <f>IF(ISNA(VLOOKUP(A80,'Données projet'!$A$35:$I$55,3,0)),0,VLOOKUP(A80,'Données projet'!$A$35:$I$55,3,0))</f>
        <v>5</v>
      </c>
      <c r="V80" s="15">
        <f>IF(ISNA(VLOOKUP(A80,'Données projet'!$A$35:$I$55,4,0)),0,VLOOKUP(A80,'Données projet'!$A$35:$I$55,4,0))</f>
        <v>44</v>
      </c>
      <c r="W80" s="16">
        <f>IF(ISNA(VLOOKUP(A80,'Données projet'!$A$35:$I$55,5,0)),0%,VLOOKUP(A80,'Données projet'!$A$35:$I$55,5,0)*VLOOKUP('Données projet'!$B$9,Paramètres!$A$1:$I$89,7,0))</f>
        <v>0.215</v>
      </c>
      <c r="X80" s="16">
        <f>IF(ISNA(VLOOKUP(A80,'Données projet'!$A$35:$I$55,6,0)),0%,VLOOKUP(A80,'Données projet'!$A$35:$I$55,6,0)*VLOOKUP('Données projet'!$B$9,Paramètres!$A$1:$I$89,7,0))</f>
        <v>0.17200000000000001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23.539639519562449</v>
      </c>
      <c r="AA80" s="21">
        <f>EXP(-LN(2)/25)*AA79+(1-EXP(-LN(2)/25))/(LN(2)/25)*Calculateur!V80*Calculateur!X80*VLOOKUP('Données projet'!$B$9,Paramètres!$A$1:$I$89,3,0)*0.475*44/12</f>
        <v>17.759360663244802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41.299000182807248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</v>
      </c>
      <c r="AI80" s="13">
        <f>IF('Données projet'!$A$62&gt;35,AI79+AH80-AQ79,IF(A80&lt;'Données projet'!$A$62,$AF$205^A80,IF(A80='Données projet'!$A$62,'Données projet'!$B$62,AI79+AH80-AQ79)))</f>
        <v>325.00000000000017</v>
      </c>
      <c r="AJ80" s="13">
        <f>AI80*VLOOKUP('Données projet'!$B$10,Paramètres!$A$1:$I$89,3,0)*VLOOKUP('Données projet'!$B$10,Paramètres!$A$1:$I$89,5,0)</f>
        <v>253.50000000000014</v>
      </c>
      <c r="AK80" s="13">
        <f t="shared" si="89"/>
        <v>61.334805663162555</v>
      </c>
      <c r="AL80" s="20">
        <f t="shared" si="58"/>
        <v>548.33728653000833</v>
      </c>
      <c r="AM80" s="59">
        <f t="shared" si="59"/>
        <v>817.84744575428067</v>
      </c>
      <c r="AN80" s="59">
        <f ca="1">AVERAGE(OFFSET($AM$3,0,0,'Données projet'!$E$10+1,1))-AVERAGE(OFFSET($H$3,0,0,'Données projet'!$E$10+1,1))</f>
        <v>381.55743422692029</v>
      </c>
      <c r="AO80" s="59">
        <f t="shared" si="90"/>
        <v>360.34132229290537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35.750597073111848</v>
      </c>
      <c r="AV80" s="21">
        <f>EXP(-LN(2)/25)*AV79+(1-EXP(-LN(2)/25))/(LN(2)/25)*Calculateur!AQ80*Calculateur!AS80*VLOOKUP('Données projet'!$B$10,Paramètres!$A$1:$I$89,3,0)*0.475*44/12</f>
        <v>27.125761899226983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62.876358972338835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-70</v>
      </c>
      <c r="BE80" s="13">
        <f>BD80*VLOOKUP('Données projet'!$B$11,Paramètres!$A$1:$I$89,3,0)*VLOOKUP('Données projet'!$B$11,Paramètres!$A$1:$I$89,5,0)</f>
        <v>-56.783999999999999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99.41315989132292</v>
      </c>
      <c r="BJ80" s="59">
        <f t="shared" si="92"/>
        <v>111.63051055870588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35.299592504380648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35.299592504380648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8.375</v>
      </c>
      <c r="N81" s="13">
        <f>IF('Données projet'!$A$36&gt;35,N80+M81-V80,IF(A81&lt;'Données projet'!$A$36,$K$205^A81,IF(A81='Données projet'!$A$36,'Données projet'!$B$36,N80+M81-V80)))</f>
        <v>158.37500000000009</v>
      </c>
      <c r="O81" s="13">
        <f>N81*VLOOKUP('Données projet'!$B$9,Paramètres!$A$1:$I$89,3,0)*VLOOKUP('Données projet'!$B$9,Paramètres!$A$1:$I$89,5,0)</f>
        <v>143.29770000000008</v>
      </c>
      <c r="P81" s="13">
        <f t="shared" si="87"/>
        <v>37.05143556739683</v>
      </c>
      <c r="Q81" s="20">
        <f t="shared" si="54"/>
        <v>314.10807777988293</v>
      </c>
      <c r="R81" s="59">
        <f t="shared" si="55"/>
        <v>584.03151581430916</v>
      </c>
      <c r="S81" s="59">
        <f ca="1">AVERAGE(OFFSET($R$3,0,0,'Données projet'!$E$9+1,1))-AVERAGE(OFFSET($H$3,0,0,'Données projet'!$E$9+1,1))</f>
        <v>474.39725570496114</v>
      </c>
      <c r="T81" s="59">
        <f t="shared" si="88"/>
        <v>196.13536593828755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23.078041546346224</v>
      </c>
      <c r="AA81" s="21">
        <f>EXP(-LN(2)/25)*AA80+(1-EXP(-LN(2)/25))/(LN(2)/25)*Calculateur!V81*Calculateur!X81*VLOOKUP('Données projet'!$B$9,Paramètres!$A$1:$I$89,3,0)*0.475*44/12</f>
        <v>17.273730011984185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40.351771558330412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</v>
      </c>
      <c r="AI81" s="13">
        <f>IF('Données projet'!$A$62&gt;35,AI80+AH81-AQ80,IF(A81&lt;'Données projet'!$A$62,$AF$205^A81,IF(A81='Données projet'!$A$62,'Données projet'!$B$62,AI80+AH81-AQ80)))</f>
        <v>333.00000000000017</v>
      </c>
      <c r="AJ81" s="13">
        <f>AI81*VLOOKUP('Données projet'!$B$10,Paramètres!$A$1:$I$89,3,0)*VLOOKUP('Données projet'!$B$10,Paramètres!$A$1:$I$89,5,0)</f>
        <v>259.74000000000012</v>
      </c>
      <c r="AK81" s="13">
        <f t="shared" si="89"/>
        <v>62.666953236268782</v>
      </c>
      <c r="AL81" s="20">
        <f t="shared" si="58"/>
        <v>561.52544355316832</v>
      </c>
      <c r="AM81" s="59">
        <f t="shared" si="59"/>
        <v>831.44888158759454</v>
      </c>
      <c r="AN81" s="59">
        <f ca="1">AVERAGE(OFFSET($AM$3,0,0,'Données projet'!$E$10+1,1))-AVERAGE(OFFSET($H$3,0,0,'Données projet'!$E$10+1,1))</f>
        <v>381.55743422692029</v>
      </c>
      <c r="AO81" s="59">
        <f t="shared" si="90"/>
        <v>360.34132229290537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35.049549670219207</v>
      </c>
      <c r="AV81" s="21">
        <f>EXP(-LN(2)/25)*AV80+(1-EXP(-LN(2)/25))/(LN(2)/25)*Calculateur!AQ81*Calculateur!AS81*VLOOKUP('Données projet'!$B$10,Paramètres!$A$1:$I$89,3,0)*0.475*44/12</f>
        <v>26.3840065136108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61.433556183830007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-70</v>
      </c>
      <c r="BE81" s="13">
        <f>BD81*VLOOKUP('Données projet'!$B$11,Paramètres!$A$1:$I$89,3,0)*VLOOKUP('Données projet'!$B$11,Paramètres!$A$1:$I$89,5,0)</f>
        <v>-56.783999999999999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99.41315989132292</v>
      </c>
      <c r="BJ81" s="59">
        <f t="shared" si="92"/>
        <v>111.63051055870588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34.607389025995197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34.607389025995197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8.375</v>
      </c>
      <c r="N82" s="13">
        <f>IF('Données projet'!$A$36&gt;35,N81+M82-V81,IF(A82&lt;'Données projet'!$A$36,$K$205^A82,IF(A82='Données projet'!$A$36,'Données projet'!$B$36,N81+M82-V81)))</f>
        <v>166.75000000000009</v>
      </c>
      <c r="O82" s="13">
        <f>N82*VLOOKUP('Données projet'!$B$9,Paramètres!$A$1:$I$89,3,0)*VLOOKUP('Données projet'!$B$9,Paramètres!$A$1:$I$89,5,0)</f>
        <v>150.87540000000007</v>
      </c>
      <c r="P82" s="13">
        <f t="shared" si="87"/>
        <v>38.77745598814775</v>
      </c>
      <c r="Q82" s="20">
        <f t="shared" si="54"/>
        <v>330.31205751269079</v>
      </c>
      <c r="R82" s="59">
        <f t="shared" si="55"/>
        <v>600.64160489386768</v>
      </c>
      <c r="S82" s="59">
        <f ca="1">AVERAGE(OFFSET($R$3,0,0,'Données projet'!$E$9+1,1))-AVERAGE(OFFSET($H$3,0,0,'Données projet'!$E$9+1,1))</f>
        <v>474.39725570496114</v>
      </c>
      <c r="T82" s="59">
        <f t="shared" si="88"/>
        <v>196.13536593828755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22.625495227837806</v>
      </c>
      <c r="AA82" s="21">
        <f>EXP(-LN(2)/25)*AA81+(1-EXP(-LN(2)/25))/(LN(2)/25)*Calculateur!V82*Calculateur!X82*VLOOKUP('Données projet'!$B$9,Paramètres!$A$1:$I$89,3,0)*0.475*44/12</f>
        <v>16.801378956420496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39.426874184258303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</v>
      </c>
      <c r="AI82" s="13">
        <f>IF('Données projet'!$A$62&gt;35,AI81+AH82-AQ81,IF(A82&lt;'Données projet'!$A$62,$AF$205^A82,IF(A82='Données projet'!$A$62,'Données projet'!$B$62,AI81+AH82-AQ81)))</f>
        <v>341.00000000000017</v>
      </c>
      <c r="AJ82" s="13">
        <f>AI82*VLOOKUP('Données projet'!$B$10,Paramètres!$A$1:$I$89,3,0)*VLOOKUP('Données projet'!$B$10,Paramètres!$A$1:$I$89,5,0)</f>
        <v>265.98000000000013</v>
      </c>
      <c r="AK82" s="13">
        <f t="shared" si="89"/>
        <v>63.995380422211646</v>
      </c>
      <c r="AL82" s="20">
        <f t="shared" si="58"/>
        <v>574.7071209020188</v>
      </c>
      <c r="AM82" s="59">
        <f t="shared" si="59"/>
        <v>845.0366682831957</v>
      </c>
      <c r="AN82" s="59">
        <f ca="1">AVERAGE(OFFSET($AM$3,0,0,'Données projet'!$E$10+1,1))-AVERAGE(OFFSET($H$3,0,0,'Données projet'!$E$10+1,1))</f>
        <v>381.55743422692029</v>
      </c>
      <c r="AO82" s="59">
        <f t="shared" si="90"/>
        <v>360.34132229290537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34.362249379300593</v>
      </c>
      <c r="AV82" s="21">
        <f>EXP(-LN(2)/25)*AV81+(1-EXP(-LN(2)/25))/(LN(2)/25)*Calculateur!AQ82*Calculateur!AS82*VLOOKUP('Données projet'!$B$10,Paramètres!$A$1:$I$89,3,0)*0.475*44/12</f>
        <v>25.662534468021512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60.024783847322105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-70</v>
      </c>
      <c r="BE82" s="13">
        <f>BD82*VLOOKUP('Données projet'!$B$11,Paramètres!$A$1:$I$89,3,0)*VLOOKUP('Données projet'!$B$11,Paramètres!$A$1:$I$89,5,0)</f>
        <v>-56.783999999999999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99.41315989132292</v>
      </c>
      <c r="BJ82" s="59">
        <f t="shared" si="92"/>
        <v>111.63051055870588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33.92875923561845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33.92875923561845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8.375</v>
      </c>
      <c r="N83" s="13">
        <f>IF('Données projet'!$A$36&gt;35,N82+M83-V82,IF(A83&lt;'Données projet'!$A$36,$K$205^A83,IF(A83='Données projet'!$A$36,'Données projet'!$B$36,N82+M83-V82)))</f>
        <v>175.12500000000009</v>
      </c>
      <c r="O83" s="13">
        <f>N83*VLOOKUP('Données projet'!$B$9,Paramètres!$A$1:$I$89,3,0)*VLOOKUP('Données projet'!$B$9,Paramètres!$A$1:$I$89,5,0)</f>
        <v>158.45310000000009</v>
      </c>
      <c r="P83" s="13">
        <f t="shared" si="87"/>
        <v>40.493410758765968</v>
      </c>
      <c r="Q83" s="20">
        <f t="shared" si="54"/>
        <v>346.49850623818423</v>
      </c>
      <c r="R83" s="59">
        <f t="shared" si="55"/>
        <v>617.22711787687035</v>
      </c>
      <c r="S83" s="59">
        <f ca="1">AVERAGE(OFFSET($R$3,0,0,'Données projet'!$E$9+1,1))-AVERAGE(OFFSET($H$3,0,0,'Données projet'!$E$9+1,1))</f>
        <v>474.39725570496114</v>
      </c>
      <c r="T83" s="59">
        <f t="shared" si="88"/>
        <v>196.13536593828755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22.18182306660934</v>
      </c>
      <c r="AA83" s="21">
        <f>EXP(-LN(2)/25)*AA82+(1-EXP(-LN(2)/25))/(LN(2)/25)*Calculateur!V83*Calculateur!X83*VLOOKUP('Données projet'!$B$9,Paramètres!$A$1:$I$89,3,0)*0.475*44/12</f>
        <v>16.341944365311058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38.523767431920398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349</v>
      </c>
      <c r="AG83" s="12">
        <f>VLOOKUP(A83,'Données projet'!$A$61:$I$81,9,0)</f>
        <v>8</v>
      </c>
      <c r="AH83" s="12">
        <f t="array" ref="AH83">INDEX(AG:AG,MIN(IF(ISNUMBER(AG83:AG279),ROW(AG83:AG279),"")))</f>
        <v>8</v>
      </c>
      <c r="AI83" s="13">
        <f>IF('Données projet'!$A$62&gt;35,AI82+AH83-AQ82,IF(A83&lt;'Données projet'!$A$62,$AF$205^A83,IF(A83='Données projet'!$A$62,'Données projet'!$B$62,AI82+AH83-AQ82)))</f>
        <v>349.00000000000017</v>
      </c>
      <c r="AJ83" s="13">
        <f>AI83*VLOOKUP('Données projet'!$B$10,Paramètres!$A$1:$I$89,3,0)*VLOOKUP('Données projet'!$B$10,Paramètres!$A$1:$I$89,5,0)</f>
        <v>272.22000000000014</v>
      </c>
      <c r="AK83" s="13">
        <f t="shared" si="89"/>
        <v>65.320184547527205</v>
      </c>
      <c r="AL83" s="20">
        <f t="shared" si="58"/>
        <v>587.88248808694345</v>
      </c>
      <c r="AM83" s="59">
        <f t="shared" si="59"/>
        <v>858.61109972562963</v>
      </c>
      <c r="AN83" s="59">
        <f ca="1">AVERAGE(OFFSET($AM$3,0,0,'Données projet'!$E$10+1,1))-AVERAGE(OFFSET($H$3,0,0,'Données projet'!$E$10+1,1))</f>
        <v>381.55743422692029</v>
      </c>
      <c r="AO83" s="59">
        <f t="shared" si="90"/>
        <v>360.34132229290537</v>
      </c>
      <c r="AP83" s="15" t="str">
        <f>IF(ISNA(VLOOKUP(A83,'Données projet'!$A$61:$I$81,3,0)),0,VLOOKUP(A83,'Données projet'!$A$61:$I$81,3,0))</f>
        <v>CR</v>
      </c>
      <c r="AQ83" s="15">
        <f>IF(ISNA(VLOOKUP(A83,'Données projet'!$A$61:$I$81,4,0)),0,VLOOKUP(A83,'Données projet'!$A$61:$I$81,4,0))</f>
        <v>349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163.08881971595278</v>
      </c>
      <c r="AV83" s="21">
        <f>EXP(-LN(2)/25)*AV82+(1-EXP(-LN(2)/25))/(LN(2)/25)*Calculateur!AQ83*Calculateur!AS83*VLOOKUP('Données projet'!$B$10,Paramètres!$A$1:$I$89,3,0)*0.475*44/12</f>
        <v>24.960791113459429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188.04961082941222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-70</v>
      </c>
      <c r="BE83" s="13">
        <f>BD83*VLOOKUP('Données projet'!$B$11,Paramètres!$A$1:$I$89,3,0)*VLOOKUP('Données projet'!$B$11,Paramètres!$A$1:$I$89,5,0)</f>
        <v>-56.783999999999999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99.41315989132292</v>
      </c>
      <c r="BJ83" s="59">
        <f t="shared" si="92"/>
        <v>111.63051055870588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33.263436961507693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33.263436961507693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8.375</v>
      </c>
      <c r="N84" s="13">
        <f>IF('Données projet'!$A$36&gt;35,N83+M84-V83,IF(A84&lt;'Données projet'!$A$36,$K$205^A84,IF(A84='Données projet'!$A$36,'Données projet'!$B$36,N83+M84-V83)))</f>
        <v>183.50000000000009</v>
      </c>
      <c r="O84" s="13">
        <f>N84*VLOOKUP('Données projet'!$B$9,Paramètres!$A$1:$I$89,3,0)*VLOOKUP('Données projet'!$B$9,Paramètres!$A$1:$I$89,5,0)</f>
        <v>166.03080000000006</v>
      </c>
      <c r="P84" s="13">
        <f t="shared" si="87"/>
        <v>42.199836205349136</v>
      </c>
      <c r="Q84" s="20">
        <f t="shared" si="54"/>
        <v>362.66835805764981</v>
      </c>
      <c r="R84" s="59">
        <f t="shared" si="55"/>
        <v>633.7891110811513</v>
      </c>
      <c r="S84" s="59">
        <f ca="1">AVERAGE(OFFSET($R$3,0,0,'Données projet'!$E$9+1,1))-AVERAGE(OFFSET($H$3,0,0,'Données projet'!$E$9+1,1))</f>
        <v>474.39725570496114</v>
      </c>
      <c r="T84" s="59">
        <f t="shared" si="88"/>
        <v>196.13536593828755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21.746851045849265</v>
      </c>
      <c r="AA84" s="21">
        <f>EXP(-LN(2)/25)*AA83+(1-EXP(-LN(2)/25))/(LN(2)/25)*Calculateur!V84*Calculateur!X84*VLOOKUP('Données projet'!$B$9,Paramètres!$A$1:$I$89,3,0)*0.475*44/12</f>
        <v>15.895073037256122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37.641924083105387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1.7053025658242404E-13</v>
      </c>
      <c r="AJ84" s="13">
        <f>AI84*VLOOKUP('Données projet'!$B$10,Paramètres!$A$1:$I$89,3,0)*VLOOKUP('Données projet'!$B$10,Paramètres!$A$1:$I$89,5,0)</f>
        <v>1.3301360013429075E-13</v>
      </c>
      <c r="AK84" s="13">
        <f t="shared" si="89"/>
        <v>1.9329766731057041E-12</v>
      </c>
      <c r="AL84" s="20">
        <f t="shared" si="58"/>
        <v>3.5982663925596575E-12</v>
      </c>
      <c r="AM84" s="59">
        <f t="shared" si="59"/>
        <v>271.12075302350502</v>
      </c>
      <c r="AN84" s="59">
        <f ca="1">AVERAGE(OFFSET($AM$3,0,0,'Données projet'!$E$10+1,1))-AVERAGE(OFFSET($H$3,0,0,'Données projet'!$E$10+1,1))</f>
        <v>381.55743422692029</v>
      </c>
      <c r="AO84" s="59">
        <f t="shared" si="90"/>
        <v>360.34132229290537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159.89074743568071</v>
      </c>
      <c r="AV84" s="21">
        <f>EXP(-LN(2)/25)*AV83+(1-EXP(-LN(2)/25))/(LN(2)/25)*Calculateur!AQ84*Calculateur!AS84*VLOOKUP('Données projet'!$B$10,Paramètres!$A$1:$I$89,3,0)*0.475*44/12</f>
        <v>24.278236967830924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184.16898440351164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-70</v>
      </c>
      <c r="BE84" s="13">
        <f>BD84*VLOOKUP('Données projet'!$B$11,Paramètres!$A$1:$I$89,3,0)*VLOOKUP('Données projet'!$B$11,Paramètres!$A$1:$I$89,5,0)</f>
        <v>-56.783999999999999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99.41315989132292</v>
      </c>
      <c r="BJ84" s="59">
        <f t="shared" si="92"/>
        <v>111.63051055870588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32.611161251385731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32.611161251385731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8.375</v>
      </c>
      <c r="N85" s="13">
        <f>IF('Données projet'!$A$36&gt;35,N84+M85-V84,IF(A85&lt;'Données projet'!$A$36,$K$205^A85,IF(A85='Données projet'!$A$36,'Données projet'!$B$36,N84+M85-V84)))</f>
        <v>191.87500000000009</v>
      </c>
      <c r="O85" s="13">
        <f>N85*VLOOKUP('Données projet'!$B$9,Paramètres!$A$1:$I$89,3,0)*VLOOKUP('Données projet'!$B$9,Paramètres!$A$1:$I$89,5,0)</f>
        <v>173.60850000000008</v>
      </c>
      <c r="P85" s="13">
        <f t="shared" si="87"/>
        <v>43.897216930584449</v>
      </c>
      <c r="Q85" s="20">
        <f t="shared" si="54"/>
        <v>378.82245698743469</v>
      </c>
      <c r="R85" s="59">
        <f t="shared" si="55"/>
        <v>650.32854861942178</v>
      </c>
      <c r="S85" s="59">
        <f ca="1">AVERAGE(OFFSET($R$3,0,0,'Données projet'!$E$9+1,1))-AVERAGE(OFFSET($H$3,0,0,'Données projet'!$E$9+1,1))</f>
        <v>474.39725570496114</v>
      </c>
      <c r="T85" s="59">
        <f t="shared" si="88"/>
        <v>196.13536593828755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21.320408561109563</v>
      </c>
      <c r="AA85" s="21">
        <f>EXP(-LN(2)/25)*AA84+(1-EXP(-LN(2)/25))/(LN(2)/25)*Calculateur!V85*Calculateur!X85*VLOOKUP('Données projet'!$B$9,Paramètres!$A$1:$I$89,3,0)*0.475*44/12</f>
        <v>15.460421429166791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36.780829990276352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1.7053025658242404E-13</v>
      </c>
      <c r="AJ85" s="13">
        <f>AI85*VLOOKUP('Données projet'!$B$10,Paramètres!$A$1:$I$89,3,0)*VLOOKUP('Données projet'!$B$10,Paramètres!$A$1:$I$89,5,0)</f>
        <v>1.3301360013429075E-13</v>
      </c>
      <c r="AK85" s="13">
        <f t="shared" si="89"/>
        <v>1.9329766731057041E-12</v>
      </c>
      <c r="AL85" s="20">
        <f t="shared" si="58"/>
        <v>3.5982663925596575E-12</v>
      </c>
      <c r="AM85" s="59">
        <f t="shared" si="59"/>
        <v>271.50609163199061</v>
      </c>
      <c r="AN85" s="59">
        <f ca="1">AVERAGE(OFFSET($AM$3,0,0,'Données projet'!$E$10+1,1))-AVERAGE(OFFSET($H$3,0,0,'Données projet'!$E$10+1,1))</f>
        <v>381.55743422692029</v>
      </c>
      <c r="AO85" s="59">
        <f t="shared" si="90"/>
        <v>360.34132229290537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156.75538740219326</v>
      </c>
      <c r="AV85" s="21">
        <f>EXP(-LN(2)/25)*AV84+(1-EXP(-LN(2)/25))/(LN(2)/25)*Calculateur!AQ85*Calculateur!AS85*VLOOKUP('Données projet'!$B$10,Paramètres!$A$1:$I$89,3,0)*0.475*44/12</f>
        <v>23.614347301208593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180.36973470340186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-70</v>
      </c>
      <c r="BE85" s="13">
        <f>BD85*VLOOKUP('Données projet'!$B$11,Paramètres!$A$1:$I$89,3,0)*VLOOKUP('Données projet'!$B$11,Paramètres!$A$1:$I$89,5,0)</f>
        <v>-56.783999999999999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99.41315989132292</v>
      </c>
      <c r="BJ85" s="59">
        <f t="shared" si="92"/>
        <v>111.63051055870588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31.971676270090363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31.971676270090363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8.375</v>
      </c>
      <c r="N86" s="13">
        <f>IF('Données projet'!$A$36&gt;35,N85+M86-V85,IF(A86&lt;'Données projet'!$A$36,$K$205^A86,IF(A86='Données projet'!$A$36,'Données projet'!$B$36,N85+M86-V85)))</f>
        <v>200.25000000000009</v>
      </c>
      <c r="O86" s="13">
        <f>N86*VLOOKUP('Données projet'!$B$9,Paramètres!$A$1:$I$89,3,0)*VLOOKUP('Données projet'!$B$9,Paramètres!$A$1:$I$89,5,0)</f>
        <v>181.18620000000007</v>
      </c>
      <c r="P86" s="13">
        <f t="shared" si="87"/>
        <v>45.585992840877573</v>
      </c>
      <c r="Q86" s="20">
        <f t="shared" si="54"/>
        <v>394.96156919786182</v>
      </c>
      <c r="R86" s="59">
        <f t="shared" si="55"/>
        <v>666.84631467496524</v>
      </c>
      <c r="S86" s="59">
        <f ca="1">AVERAGE(OFFSET($R$3,0,0,'Données projet'!$E$9+1,1))-AVERAGE(OFFSET($H$3,0,0,'Données projet'!$E$9+1,1))</f>
        <v>474.39725570496114</v>
      </c>
      <c r="T86" s="59">
        <f t="shared" si="88"/>
        <v>196.13536593828755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20.902328353391372</v>
      </c>
      <c r="AA86" s="21">
        <f>EXP(-LN(2)/25)*AA85+(1-EXP(-LN(2)/25))/(LN(2)/25)*Calculateur!V86*Calculateur!X86*VLOOKUP('Données projet'!$B$9,Paramètres!$A$1:$I$89,3,0)*0.475*44/12</f>
        <v>15.037655392157998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35.93998374554937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1.7053025658242404E-13</v>
      </c>
      <c r="AJ86" s="13">
        <f>AI86*VLOOKUP('Données projet'!$B$10,Paramètres!$A$1:$I$89,3,0)*VLOOKUP('Données projet'!$B$10,Paramètres!$A$1:$I$89,5,0)</f>
        <v>1.3301360013429075E-13</v>
      </c>
      <c r="AK86" s="13">
        <f t="shared" si="89"/>
        <v>1.9329766731057041E-12</v>
      </c>
      <c r="AL86" s="20">
        <f t="shared" si="58"/>
        <v>3.5982663925596575E-12</v>
      </c>
      <c r="AM86" s="59">
        <f t="shared" si="59"/>
        <v>271.88474547710706</v>
      </c>
      <c r="AN86" s="59">
        <f ca="1">AVERAGE(OFFSET($AM$3,0,0,'Données projet'!$E$10+1,1))-AVERAGE(OFFSET($H$3,0,0,'Données projet'!$E$10+1,1))</f>
        <v>381.55743422692029</v>
      </c>
      <c r="AO86" s="59">
        <f t="shared" si="90"/>
        <v>360.34132229290537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153.68150986658173</v>
      </c>
      <c r="AV86" s="21">
        <f>EXP(-LN(2)/25)*AV85+(1-EXP(-LN(2)/25))/(LN(2)/25)*Calculateur!AQ86*Calculateur!AS86*VLOOKUP('Données projet'!$B$10,Paramètres!$A$1:$I$89,3,0)*0.475*44/12</f>
        <v>22.968611732432489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176.65012159901423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-70</v>
      </c>
      <c r="BE86" s="13">
        <f>BD86*VLOOKUP('Données projet'!$B$11,Paramètres!$A$1:$I$89,3,0)*VLOOKUP('Données projet'!$B$11,Paramètres!$A$1:$I$89,5,0)</f>
        <v>-56.783999999999999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99.41315989132292</v>
      </c>
      <c r="BJ86" s="59">
        <f t="shared" si="92"/>
        <v>111.63051055870588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31.344731199230871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31.344731199230871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8.375</v>
      </c>
      <c r="N87" s="13">
        <f>IF('Données projet'!$A$36&gt;35,N86+M87-V86,IF(A87&lt;'Données projet'!$A$36,$K$205^A87,IF(A87='Données projet'!$A$36,'Données projet'!$B$36,N86+M87-V86)))</f>
        <v>208.62500000000009</v>
      </c>
      <c r="O87" s="13">
        <f>N87*VLOOKUP('Données projet'!$B$9,Paramètres!$A$1:$I$89,3,0)*VLOOKUP('Données projet'!$B$9,Paramètres!$A$1:$I$89,5,0)</f>
        <v>188.76390000000006</v>
      </c>
      <c r="P87" s="13">
        <f t="shared" si="87"/>
        <v>47.26656496477819</v>
      </c>
      <c r="Q87" s="20">
        <f t="shared" si="54"/>
        <v>411.08639314698871</v>
      </c>
      <c r="R87" s="59">
        <f t="shared" si="55"/>
        <v>683.34322367153902</v>
      </c>
      <c r="S87" s="59">
        <f ca="1">AVERAGE(OFFSET($R$3,0,0,'Données projet'!$E$9+1,1))-AVERAGE(OFFSET($H$3,0,0,'Données projet'!$E$9+1,1))</f>
        <v>474.39725570496114</v>
      </c>
      <c r="T87" s="59">
        <f t="shared" si="88"/>
        <v>196.13536593828755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20.492446443542789</v>
      </c>
      <c r="AA87" s="21">
        <f>EXP(-LN(2)/25)*AA86+(1-EXP(-LN(2)/25))/(LN(2)/25)*Calculateur!V87*Calculateur!X87*VLOOKUP('Données projet'!$B$9,Paramètres!$A$1:$I$89,3,0)*0.475*44/12</f>
        <v>14.626449914663509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35.1188963582063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1.7053025658242404E-13</v>
      </c>
      <c r="AJ87" s="13">
        <f>AI87*VLOOKUP('Données projet'!$B$10,Paramètres!$A$1:$I$89,3,0)*VLOOKUP('Données projet'!$B$10,Paramètres!$A$1:$I$89,5,0)</f>
        <v>1.3301360013429075E-13</v>
      </c>
      <c r="AK87" s="13">
        <f t="shared" si="89"/>
        <v>1.9329766731057041E-12</v>
      </c>
      <c r="AL87" s="20">
        <f t="shared" si="58"/>
        <v>3.5982663925596575E-12</v>
      </c>
      <c r="AM87" s="59">
        <f t="shared" si="59"/>
        <v>272.25683052455389</v>
      </c>
      <c r="AN87" s="59">
        <f ca="1">AVERAGE(OFFSET($AM$3,0,0,'Données projet'!$E$10+1,1))-AVERAGE(OFFSET($H$3,0,0,'Données projet'!$E$10+1,1))</f>
        <v>381.55743422692029</v>
      </c>
      <c r="AO87" s="59">
        <f t="shared" si="90"/>
        <v>360.34132229290537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150.66790919456338</v>
      </c>
      <c r="AV87" s="21">
        <f>EXP(-LN(2)/25)*AV86+(1-EXP(-LN(2)/25))/(LN(2)/25)*Calculateur!AQ87*Calculateur!AS87*VLOOKUP('Données projet'!$B$10,Paramètres!$A$1:$I$89,3,0)*0.475*44/12</f>
        <v>22.340533836742328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173.00844303130572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-70</v>
      </c>
      <c r="BE87" s="13">
        <f>BD87*VLOOKUP('Données projet'!$B$11,Paramètres!$A$1:$I$89,3,0)*VLOOKUP('Données projet'!$B$11,Paramètres!$A$1:$I$89,5,0)</f>
        <v>-56.783999999999999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99.41315989132292</v>
      </c>
      <c r="BJ87" s="59">
        <f t="shared" si="92"/>
        <v>111.63051055870588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30.730080138812202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30.730080138812202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217</v>
      </c>
      <c r="L88" s="12">
        <f>VLOOKUP(A88,'Données projet'!$A$35:$I$55,9,0)</f>
        <v>8.375</v>
      </c>
      <c r="M88" s="12">
        <f t="array" ref="M88">INDEX(L:L,MIN(IF(ISNUMBER(L88:L284),ROW(L88:L284),"")))</f>
        <v>8.375</v>
      </c>
      <c r="N88" s="13">
        <f>IF('Données projet'!$A$36&gt;35,N87+M88-V87,IF(A88&lt;'Données projet'!$A$36,$K$205^A88,IF(A88='Données projet'!$A$36,'Données projet'!$B$36,N87+M88-V87)))</f>
        <v>217.00000000000009</v>
      </c>
      <c r="O88" s="13">
        <f>N88*VLOOKUP('Données projet'!$B$9,Paramètres!$A$1:$I$89,3,0)*VLOOKUP('Données projet'!$B$9,Paramètres!$A$1:$I$89,5,0)</f>
        <v>196.34160000000008</v>
      </c>
      <c r="P88" s="13">
        <f t="shared" si="87"/>
        <v>48.939300310809159</v>
      </c>
      <c r="Q88" s="20">
        <f t="shared" si="54"/>
        <v>427.19756804132612</v>
      </c>
      <c r="R88" s="59">
        <f t="shared" si="55"/>
        <v>699.82002876960769</v>
      </c>
      <c r="S88" s="59">
        <f ca="1">AVERAGE(OFFSET($R$3,0,0,'Données projet'!$E$9+1,1))-AVERAGE(OFFSET($H$3,0,0,'Données projet'!$E$9+1,1))</f>
        <v>474.39725570496114</v>
      </c>
      <c r="T88" s="59">
        <f t="shared" si="88"/>
        <v>196.13536593828755</v>
      </c>
      <c r="U88" s="15">
        <f>IF(ISNA(VLOOKUP(A88,'Données projet'!$A$35:$I$55,3,0)),0,VLOOKUP(A88,'Données projet'!$A$35:$I$55,3,0))</f>
        <v>6</v>
      </c>
      <c r="V88" s="15">
        <f>IF(ISNA(VLOOKUP(A88,'Données projet'!$A$35:$I$55,4,0)),0,VLOOKUP(A88,'Données projet'!$A$35:$I$55,4,0))</f>
        <v>34</v>
      </c>
      <c r="W88" s="16">
        <f>IF(ISNA(VLOOKUP(A88,'Données projet'!$A$35:$I$55,5,0)),0%,VLOOKUP(A88,'Données projet'!$A$35:$I$55,5,0)*VLOOKUP('Données projet'!$B$9,Paramètres!$A$1:$I$89,7,0))</f>
        <v>0.215</v>
      </c>
      <c r="X88" s="16">
        <f>IF(ISNA(VLOOKUP(A88,'Données projet'!$A$35:$I$55,6,0)),0%,VLOOKUP(A88,'Données projet'!$A$35:$I$55,6,0)*VLOOKUP('Données projet'!$B$9,Paramètres!$A$1:$I$89,7,0))</f>
        <v>0.17200000000000001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27.402280439567384</v>
      </c>
      <c r="AA88" s="21">
        <f>EXP(-LN(2)/25)*AA87+(1-EXP(-LN(2)/25))/(LN(2)/25)*Calculateur!V88*Calculateur!X88*VLOOKUP('Données projet'!$B$9,Paramètres!$A$1:$I$89,3,0)*0.475*44/12</f>
        <v>20.052800478901361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47.455080918468745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1.7053025658242404E-13</v>
      </c>
      <c r="AJ88" s="13">
        <f>AI88*VLOOKUP('Données projet'!$B$10,Paramètres!$A$1:$I$89,3,0)*VLOOKUP('Données projet'!$B$10,Paramètres!$A$1:$I$89,5,0)</f>
        <v>1.3301360013429075E-13</v>
      </c>
      <c r="AK88" s="13">
        <f t="shared" si="89"/>
        <v>1.9329766731057041E-12</v>
      </c>
      <c r="AL88" s="20">
        <f t="shared" si="58"/>
        <v>3.5982663925596575E-12</v>
      </c>
      <c r="AM88" s="59">
        <f t="shared" si="59"/>
        <v>272.62246072828509</v>
      </c>
      <c r="AN88" s="59">
        <f ca="1">AVERAGE(OFFSET($AM$3,0,0,'Données projet'!$E$10+1,1))-AVERAGE(OFFSET($H$3,0,0,'Données projet'!$E$10+1,1))</f>
        <v>381.55743422692029</v>
      </c>
      <c r="AO88" s="59">
        <f t="shared" si="90"/>
        <v>360.34132229290537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147.71340339360839</v>
      </c>
      <c r="AV88" s="21">
        <f>EXP(-LN(2)/25)*AV87+(1-EXP(-LN(2)/25))/(LN(2)/25)*Calculateur!AQ88*Calculateur!AS88*VLOOKUP('Données projet'!$B$10,Paramètres!$A$1:$I$89,3,0)*0.475*44/12</f>
        <v>21.729630764138996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169.44303415774738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-70</v>
      </c>
      <c r="BE88" s="13">
        <f>BD88*VLOOKUP('Données projet'!$B$11,Paramètres!$A$1:$I$89,3,0)*VLOOKUP('Données projet'!$B$11,Paramètres!$A$1:$I$89,5,0)</f>
        <v>-56.783999999999999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99.41315989132292</v>
      </c>
      <c r="BJ88" s="59">
        <f t="shared" si="92"/>
        <v>111.63051055870588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30.127482010788214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30.127482010788214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7.2</v>
      </c>
      <c r="N89" s="13">
        <f>IF('Données projet'!$A$36&gt;35,N88+M89-V88,IF(A89&lt;'Données projet'!$A$36,$K$205^A89,IF(A89='Données projet'!$A$36,'Données projet'!$B$36,N88+M89-V88)))</f>
        <v>190.20000000000007</v>
      </c>
      <c r="O89" s="13">
        <f>N89*VLOOKUP('Données projet'!$B$9,Paramètres!$A$1:$I$89,3,0)*VLOOKUP('Données projet'!$B$9,Paramètres!$A$1:$I$89,5,0)</f>
        <v>172.09296000000006</v>
      </c>
      <c r="P89" s="13">
        <f t="shared" si="87"/>
        <v>43.558442654163684</v>
      </c>
      <c r="Q89" s="20">
        <f t="shared" si="54"/>
        <v>375.59285962266853</v>
      </c>
      <c r="R89" s="59">
        <f t="shared" si="55"/>
        <v>648.57460768807323</v>
      </c>
      <c r="S89" s="59">
        <f ca="1">AVERAGE(OFFSET($R$3,0,0,'Données projet'!$E$9+1,1))-AVERAGE(OFFSET($H$3,0,0,'Données projet'!$E$9+1,1))</f>
        <v>474.39725570496114</v>
      </c>
      <c r="T89" s="59">
        <f t="shared" si="88"/>
        <v>196.13536593828755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26.864938433888192</v>
      </c>
      <c r="AA89" s="21">
        <f>EXP(-LN(2)/25)*AA88+(1-EXP(-LN(2)/25))/(LN(2)/25)*Calculateur!V89*Calculateur!X89*VLOOKUP('Données projet'!$B$9,Paramètres!$A$1:$I$89,3,0)*0.475*44/12</f>
        <v>19.504455595274859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46.369394029163047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1.7053025658242404E-13</v>
      </c>
      <c r="AJ89" s="13">
        <f>AI89*VLOOKUP('Données projet'!$B$10,Paramètres!$A$1:$I$89,3,0)*VLOOKUP('Données projet'!$B$10,Paramètres!$A$1:$I$89,5,0)</f>
        <v>1.3301360013429075E-13</v>
      </c>
      <c r="AK89" s="13">
        <f t="shared" si="89"/>
        <v>1.9329766731057041E-12</v>
      </c>
      <c r="AL89" s="20">
        <f t="shared" si="58"/>
        <v>3.5982663925596575E-12</v>
      </c>
      <c r="AM89" s="59">
        <f t="shared" si="59"/>
        <v>272.98174806540828</v>
      </c>
      <c r="AN89" s="59">
        <f ca="1">AVERAGE(OFFSET($AM$3,0,0,'Données projet'!$E$10+1,1))-AVERAGE(OFFSET($H$3,0,0,'Données projet'!$E$10+1,1))</f>
        <v>381.55743422692029</v>
      </c>
      <c r="AO89" s="59">
        <f t="shared" si="90"/>
        <v>360.34132229290537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144.81683364933954</v>
      </c>
      <c r="AV89" s="21">
        <f>EXP(-LN(2)/25)*AV88+(1-EXP(-LN(2)/25))/(LN(2)/25)*Calculateur!AQ89*Calculateur!AS89*VLOOKUP('Données projet'!$B$10,Paramètres!$A$1:$I$89,3,0)*0.475*44/12</f>
        <v>21.135432868181997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165.95226651752154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-70</v>
      </c>
      <c r="BE89" s="13">
        <f>BD89*VLOOKUP('Données projet'!$B$11,Paramètres!$A$1:$I$89,3,0)*VLOOKUP('Données projet'!$B$11,Paramètres!$A$1:$I$89,5,0)</f>
        <v>-56.783999999999999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99.41315989132292</v>
      </c>
      <c r="BJ89" s="59">
        <f t="shared" si="92"/>
        <v>111.63051055870588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29.536700464506207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29.536700464506207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7.2</v>
      </c>
      <c r="N90" s="13">
        <f>IF('Données projet'!$A$36&gt;35,N89+M90-V89,IF(A90&lt;'Données projet'!$A$36,$K$205^A90,IF(A90='Données projet'!$A$36,'Données projet'!$B$36,N89+M90-V89)))</f>
        <v>197.40000000000006</v>
      </c>
      <c r="O90" s="13">
        <f>N90*VLOOKUP('Données projet'!$B$9,Paramètres!$A$1:$I$89,3,0)*VLOOKUP('Données projet'!$B$9,Paramètres!$A$1:$I$89,5,0)</f>
        <v>178.60752000000005</v>
      </c>
      <c r="P90" s="13">
        <f t="shared" si="87"/>
        <v>45.012245134905669</v>
      </c>
      <c r="Q90" s="20">
        <f t="shared" si="54"/>
        <v>389.47109094329409</v>
      </c>
      <c r="R90" s="59">
        <f t="shared" si="55"/>
        <v>662.80589351376898</v>
      </c>
      <c r="S90" s="59">
        <f ca="1">AVERAGE(OFFSET($R$3,0,0,'Données projet'!$E$9+1,1))-AVERAGE(OFFSET($H$3,0,0,'Données projet'!$E$9+1,1))</f>
        <v>474.39725570496114</v>
      </c>
      <c r="T90" s="59">
        <f t="shared" si="88"/>
        <v>196.13536593828755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26.338133377194108</v>
      </c>
      <c r="AA90" s="21">
        <f>EXP(-LN(2)/25)*AA89+(1-EXP(-LN(2)/25))/(LN(2)/25)*Calculateur!V90*Calculateur!X90*VLOOKUP('Données projet'!$B$9,Paramètres!$A$1:$I$89,3,0)*0.475*44/12</f>
        <v>18.971105231327325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45.309238608521433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1.7053025658242404E-13</v>
      </c>
      <c r="AJ90" s="13">
        <f>AI90*VLOOKUP('Données projet'!$B$10,Paramètres!$A$1:$I$89,3,0)*VLOOKUP('Données projet'!$B$10,Paramètres!$A$1:$I$89,5,0)</f>
        <v>1.3301360013429075E-13</v>
      </c>
      <c r="AK90" s="13">
        <f t="shared" si="89"/>
        <v>1.9329766731057041E-12</v>
      </c>
      <c r="AL90" s="20">
        <f t="shared" si="58"/>
        <v>3.5982663925596575E-12</v>
      </c>
      <c r="AM90" s="59">
        <f t="shared" si="59"/>
        <v>273.33480257047842</v>
      </c>
      <c r="AN90" s="59">
        <f ca="1">AVERAGE(OFFSET($AM$3,0,0,'Données projet'!$E$10+1,1))-AVERAGE(OFFSET($H$3,0,0,'Données projet'!$E$10+1,1))</f>
        <v>381.55743422692029</v>
      </c>
      <c r="AO90" s="59">
        <f t="shared" si="90"/>
        <v>360.34132229290537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141.97706387102269</v>
      </c>
      <c r="AV90" s="21">
        <f>EXP(-LN(2)/25)*AV89+(1-EXP(-LN(2)/25))/(LN(2)/25)*Calculateur!AQ90*Calculateur!AS90*VLOOKUP('Données projet'!$B$10,Paramètres!$A$1:$I$89,3,0)*0.475*44/12</f>
        <v>20.557483344937452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162.53454721596015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-70</v>
      </c>
      <c r="BE90" s="13">
        <f>BD90*VLOOKUP('Données projet'!$B$11,Paramètres!$A$1:$I$89,3,0)*VLOOKUP('Données projet'!$B$11,Paramètres!$A$1:$I$89,5,0)</f>
        <v>-56.783999999999999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99.41315989132292</v>
      </c>
      <c r="BJ90" s="59">
        <f t="shared" si="92"/>
        <v>111.63051055870588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28.957503784005631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28.957503784005631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7.2</v>
      </c>
      <c r="N91" s="13">
        <f>IF('Données projet'!$A$36&gt;35,N90+M91-V90,IF(A91&lt;'Données projet'!$A$36,$K$205^A91,IF(A91='Données projet'!$A$36,'Données projet'!$B$36,N90+M91-V90)))</f>
        <v>204.60000000000005</v>
      </c>
      <c r="O91" s="13">
        <f>N91*VLOOKUP('Données projet'!$B$9,Paramètres!$A$1:$I$89,3,0)*VLOOKUP('Données projet'!$B$9,Paramètres!$A$1:$I$89,5,0)</f>
        <v>185.12208000000004</v>
      </c>
      <c r="P91" s="13">
        <f t="shared" si="87"/>
        <v>46.459887003478677</v>
      </c>
      <c r="Q91" s="20">
        <f t="shared" si="54"/>
        <v>403.33859253105874</v>
      </c>
      <c r="R91" s="59">
        <f t="shared" si="55"/>
        <v>677.02032490025249</v>
      </c>
      <c r="S91" s="59">
        <f ca="1">AVERAGE(OFFSET($R$3,0,0,'Données projet'!$E$9+1,1))-AVERAGE(OFFSET($H$3,0,0,'Données projet'!$E$9+1,1))</f>
        <v>474.39725570496114</v>
      </c>
      <c r="T91" s="59">
        <f t="shared" si="88"/>
        <v>196.13536593828755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25.821658646342435</v>
      </c>
      <c r="AA91" s="21">
        <f>EXP(-LN(2)/25)*AA90+(1-EXP(-LN(2)/25))/(LN(2)/25)*Calculateur!V91*Calculateur!X91*VLOOKUP('Données projet'!$B$9,Paramètres!$A$1:$I$89,3,0)*0.475*44/12</f>
        <v>18.452339361129614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44.273998007472045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1.7053025658242404E-13</v>
      </c>
      <c r="AJ91" s="13">
        <f>AI91*VLOOKUP('Données projet'!$B$10,Paramètres!$A$1:$I$89,3,0)*VLOOKUP('Données projet'!$B$10,Paramètres!$A$1:$I$89,5,0)</f>
        <v>1.3301360013429075E-13</v>
      </c>
      <c r="AK91" s="13">
        <f t="shared" si="89"/>
        <v>1.9329766731057041E-12</v>
      </c>
      <c r="AL91" s="20">
        <f t="shared" si="58"/>
        <v>3.5982663925596575E-12</v>
      </c>
      <c r="AM91" s="59">
        <f t="shared" si="59"/>
        <v>273.68173236919728</v>
      </c>
      <c r="AN91" s="59">
        <f ca="1">AVERAGE(OFFSET($AM$3,0,0,'Données projet'!$E$10+1,1))-AVERAGE(OFFSET($H$3,0,0,'Données projet'!$E$10+1,1))</f>
        <v>381.55743422692029</v>
      </c>
      <c r="AO91" s="59">
        <f t="shared" si="90"/>
        <v>360.34132229290537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139.19298024597012</v>
      </c>
      <c r="AV91" s="21">
        <f>EXP(-LN(2)/25)*AV90+(1-EXP(-LN(2)/25))/(LN(2)/25)*Calculateur!AQ91*Calculateur!AS91*VLOOKUP('Données projet'!$B$10,Paramètres!$A$1:$I$89,3,0)*0.475*44/12</f>
        <v>19.995337881799074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159.18831812776921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-70</v>
      </c>
      <c r="BE91" s="13">
        <f>BD91*VLOOKUP('Données projet'!$B$11,Paramètres!$A$1:$I$89,3,0)*VLOOKUP('Données projet'!$B$11,Paramètres!$A$1:$I$89,5,0)</f>
        <v>-56.783999999999999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99.41315989132292</v>
      </c>
      <c r="BJ91" s="59">
        <f t="shared" si="92"/>
        <v>111.63051055870588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28.389664797134579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28.389664797134579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7.2</v>
      </c>
      <c r="N92" s="13">
        <f>IF('Données projet'!$A$36&gt;35,N91+M92-V91,IF(A92&lt;'Données projet'!$A$36,$K$205^A92,IF(A92='Données projet'!$A$36,'Données projet'!$B$36,N91+M92-V91)))</f>
        <v>211.80000000000004</v>
      </c>
      <c r="O92" s="13">
        <f>N92*VLOOKUP('Données projet'!$B$9,Paramètres!$A$1:$I$89,3,0)*VLOOKUP('Données projet'!$B$9,Paramètres!$A$1:$I$89,5,0)</f>
        <v>191.63664000000003</v>
      </c>
      <c r="P92" s="13">
        <f t="shared" si="87"/>
        <v>47.901609897009187</v>
      </c>
      <c r="Q92" s="20">
        <f t="shared" si="54"/>
        <v>417.19578523729109</v>
      </c>
      <c r="R92" s="59">
        <f t="shared" si="55"/>
        <v>691.21842894881468</v>
      </c>
      <c r="S92" s="59">
        <f ca="1">AVERAGE(OFFSET($R$3,0,0,'Données projet'!$E$9+1,1))-AVERAGE(OFFSET($H$3,0,0,'Données projet'!$E$9+1,1))</f>
        <v>474.39725570496114</v>
      </c>
      <c r="T92" s="59">
        <f t="shared" si="88"/>
        <v>196.13536593828755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25.315311669944286</v>
      </c>
      <c r="AA92" s="21">
        <f>EXP(-LN(2)/25)*AA91+(1-EXP(-LN(2)/25))/(LN(2)/25)*Calculateur!V92*Calculateur!X92*VLOOKUP('Données projet'!$B$9,Paramètres!$A$1:$I$89,3,0)*0.475*44/12</f>
        <v>17.947759170933171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43.263070840877461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1.7053025658242404E-13</v>
      </c>
      <c r="AJ92" s="13">
        <f>AI92*VLOOKUP('Données projet'!$B$10,Paramètres!$A$1:$I$89,3,0)*VLOOKUP('Données projet'!$B$10,Paramètres!$A$1:$I$89,5,0)</f>
        <v>1.3301360013429075E-13</v>
      </c>
      <c r="AK92" s="13">
        <f t="shared" si="89"/>
        <v>1.9329766731057041E-12</v>
      </c>
      <c r="AL92" s="20">
        <f t="shared" si="58"/>
        <v>3.5982663925596575E-12</v>
      </c>
      <c r="AM92" s="59">
        <f t="shared" si="59"/>
        <v>274.02264371152717</v>
      </c>
      <c r="AN92" s="59">
        <f ca="1">AVERAGE(OFFSET($AM$3,0,0,'Données projet'!$E$10+1,1))-AVERAGE(OFFSET($H$3,0,0,'Données projet'!$E$10+1,1))</f>
        <v>381.55743422692029</v>
      </c>
      <c r="AO92" s="59">
        <f t="shared" si="90"/>
        <v>360.34132229290537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136.46349080268149</v>
      </c>
      <c r="AV92" s="21">
        <f>EXP(-LN(2)/25)*AV91+(1-EXP(-LN(2)/25))/(LN(2)/25)*Calculateur!AQ92*Calculateur!AS92*VLOOKUP('Données projet'!$B$10,Paramètres!$A$1:$I$89,3,0)*0.475*44/12</f>
        <v>19.448564315912158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155.91205511859366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-70</v>
      </c>
      <c r="BE92" s="13">
        <f>BD92*VLOOKUP('Données projet'!$B$11,Paramètres!$A$1:$I$89,3,0)*VLOOKUP('Données projet'!$B$11,Paramètres!$A$1:$I$89,5,0)</f>
        <v>-56.783999999999999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99.41315989132292</v>
      </c>
      <c r="BJ92" s="59">
        <f t="shared" si="92"/>
        <v>111.63051055870588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27.832960786448485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27.832960786448485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7.2</v>
      </c>
      <c r="N93" s="13">
        <f>IF('Données projet'!$A$36&gt;35,N92+M93-V92,IF(A93&lt;'Données projet'!$A$36,$K$205^A93,IF(A93='Données projet'!$A$36,'Données projet'!$B$36,N92+M93-V92)))</f>
        <v>219.00000000000003</v>
      </c>
      <c r="O93" s="13">
        <f>N93*VLOOKUP('Données projet'!$B$9,Paramètres!$A$1:$I$89,3,0)*VLOOKUP('Données projet'!$B$9,Paramètres!$A$1:$I$89,5,0)</f>
        <v>198.15120000000002</v>
      </c>
      <c r="P93" s="13">
        <f t="shared" si="87"/>
        <v>49.337638092068957</v>
      </c>
      <c r="Q93" s="20">
        <f t="shared" si="54"/>
        <v>431.04305967702015</v>
      </c>
      <c r="R93" s="59">
        <f t="shared" si="55"/>
        <v>705.40070068124783</v>
      </c>
      <c r="S93" s="59">
        <f ca="1">AVERAGE(OFFSET($R$3,0,0,'Données projet'!$E$9+1,1))-AVERAGE(OFFSET($H$3,0,0,'Données projet'!$E$9+1,1))</f>
        <v>474.39725570496114</v>
      </c>
      <c r="T93" s="59">
        <f t="shared" si="88"/>
        <v>196.13536593828755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24.818893848912143</v>
      </c>
      <c r="AA93" s="21">
        <f>EXP(-LN(2)/25)*AA92+(1-EXP(-LN(2)/25))/(LN(2)/25)*Calculateur!V93*Calculateur!X93*VLOOKUP('Données projet'!$B$9,Paramètres!$A$1:$I$89,3,0)*0.475*44/12</f>
        <v>17.45697675257237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42.275870601484513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1.7053025658242404E-13</v>
      </c>
      <c r="AJ93" s="13">
        <f>AI93*VLOOKUP('Données projet'!$B$10,Paramètres!$A$1:$I$89,3,0)*VLOOKUP('Données projet'!$B$10,Paramètres!$A$1:$I$89,5,0)</f>
        <v>1.3301360013429075E-13</v>
      </c>
      <c r="AK93" s="13">
        <f t="shared" si="89"/>
        <v>1.9329766731057041E-12</v>
      </c>
      <c r="AL93" s="20">
        <f t="shared" si="58"/>
        <v>3.5982663925596575E-12</v>
      </c>
      <c r="AM93" s="59">
        <f t="shared" si="59"/>
        <v>274.35764100423125</v>
      </c>
      <c r="AN93" s="59">
        <f ca="1">AVERAGE(OFFSET($AM$3,0,0,'Données projet'!$E$10+1,1))-AVERAGE(OFFSET($H$3,0,0,'Données projet'!$E$10+1,1))</f>
        <v>381.55743422692029</v>
      </c>
      <c r="AO93" s="59">
        <f t="shared" si="90"/>
        <v>360.34132229290537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133.78752498255156</v>
      </c>
      <c r="AV93" s="21">
        <f>EXP(-LN(2)/25)*AV92+(1-EXP(-LN(2)/25))/(LN(2)/25)*Calculateur!AQ93*Calculateur!AS93*VLOOKUP('Données projet'!$B$10,Paramètres!$A$1:$I$89,3,0)*0.475*44/12</f>
        <v>18.916742301937994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152.70426728448956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-70</v>
      </c>
      <c r="BE93" s="13">
        <f>BD93*VLOOKUP('Données projet'!$B$11,Paramètres!$A$1:$I$89,3,0)*VLOOKUP('Données projet'!$B$11,Paramètres!$A$1:$I$89,5,0)</f>
        <v>-56.783999999999999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99.41315989132292</v>
      </c>
      <c r="BJ93" s="59">
        <f t="shared" si="92"/>
        <v>111.63051055870588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27.287173401856027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27.287173401856027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7.2</v>
      </c>
      <c r="N94" s="13">
        <f>IF('Données projet'!$A$36&gt;35,N93+M94-V93,IF(A94&lt;'Données projet'!$A$36,$K$205^A94,IF(A94='Données projet'!$A$36,'Données projet'!$B$36,N93+M94-V93)))</f>
        <v>226.20000000000002</v>
      </c>
      <c r="O94" s="13">
        <f>N94*VLOOKUP('Données projet'!$B$9,Paramètres!$A$1:$I$89,3,0)*VLOOKUP('Données projet'!$B$9,Paramètres!$A$1:$I$89,5,0)</f>
        <v>204.66576000000001</v>
      </c>
      <c r="P94" s="13">
        <f t="shared" si="87"/>
        <v>50.768180281292906</v>
      </c>
      <c r="Q94" s="20">
        <f t="shared" si="54"/>
        <v>444.88077932325183</v>
      </c>
      <c r="R94" s="59">
        <f t="shared" si="55"/>
        <v>719.56760616609688</v>
      </c>
      <c r="S94" s="59">
        <f ca="1">AVERAGE(OFFSET($R$3,0,0,'Données projet'!$E$9+1,1))-AVERAGE(OFFSET($H$3,0,0,'Données projet'!$E$9+1,1))</f>
        <v>474.39725570496114</v>
      </c>
      <c r="T94" s="59">
        <f t="shared" si="88"/>
        <v>196.13536593828755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24.332210478565468</v>
      </c>
      <c r="AA94" s="21">
        <f>EXP(-LN(2)/25)*AA93+(1-EXP(-LN(2)/25))/(LN(2)/25)*Calculateur!V94*Calculateur!X94*VLOOKUP('Données projet'!$B$9,Paramètres!$A$1:$I$89,3,0)*0.475*44/12</f>
        <v>16.979614805250769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41.311825283816233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1.7053025658242404E-13</v>
      </c>
      <c r="AJ94" s="13">
        <f>AI94*VLOOKUP('Données projet'!$B$10,Paramètres!$A$1:$I$89,3,0)*VLOOKUP('Données projet'!$B$10,Paramètres!$A$1:$I$89,5,0)</f>
        <v>1.3301360013429075E-13</v>
      </c>
      <c r="AK94" s="13">
        <f t="shared" si="89"/>
        <v>1.9329766731057041E-12</v>
      </c>
      <c r="AL94" s="20">
        <f t="shared" si="58"/>
        <v>3.5982663925596575E-12</v>
      </c>
      <c r="AM94" s="59">
        <f t="shared" si="59"/>
        <v>274.68682684284863</v>
      </c>
      <c r="AN94" s="59">
        <f ca="1">AVERAGE(OFFSET($AM$3,0,0,'Données projet'!$E$10+1,1))-AVERAGE(OFFSET($H$3,0,0,'Données projet'!$E$10+1,1))</f>
        <v>381.55743422692029</v>
      </c>
      <c r="AO94" s="59">
        <f t="shared" si="90"/>
        <v>360.34132229290537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131.1640332199764</v>
      </c>
      <c r="AV94" s="21">
        <f>EXP(-LN(2)/25)*AV93+(1-EXP(-LN(2)/25))/(LN(2)/25)*Calculateur!AQ94*Calculateur!AS94*VLOOKUP('Données projet'!$B$10,Paramètres!$A$1:$I$89,3,0)*0.475*44/12</f>
        <v>18.399462988903256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149.56349620887966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-70</v>
      </c>
      <c r="BE94" s="13">
        <f>BD94*VLOOKUP('Données projet'!$B$11,Paramètres!$A$1:$I$89,3,0)*VLOOKUP('Données projet'!$B$11,Paramètres!$A$1:$I$89,5,0)</f>
        <v>-56.783999999999999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99.41315989132292</v>
      </c>
      <c r="BJ94" s="59">
        <f t="shared" si="92"/>
        <v>111.63051055870588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26.752088574977993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26.752088574977993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7.2</v>
      </c>
      <c r="N95" s="13">
        <f>IF('Données projet'!$A$36&gt;35,N94+M95-V94,IF(A95&lt;'Données projet'!$A$36,$K$205^A95,IF(A95='Données projet'!$A$36,'Données projet'!$B$36,N94+M95-V94)))</f>
        <v>233.4</v>
      </c>
      <c r="O95" s="13">
        <f>N95*VLOOKUP('Données projet'!$B$9,Paramètres!$A$1:$I$89,3,0)*VLOOKUP('Données projet'!$B$9,Paramètres!$A$1:$I$89,5,0)</f>
        <v>211.18031999999999</v>
      </c>
      <c r="P95" s="13">
        <f t="shared" si="87"/>
        <v>52.193431117443019</v>
      </c>
      <c r="Q95" s="20">
        <f t="shared" si="54"/>
        <v>458.70928319621322</v>
      </c>
      <c r="R95" s="59">
        <f t="shared" si="55"/>
        <v>733.71958523932494</v>
      </c>
      <c r="S95" s="59">
        <f ca="1">AVERAGE(OFFSET($R$3,0,0,'Données projet'!$E$9+1,1))-AVERAGE(OFFSET($H$3,0,0,'Données projet'!$E$9+1,1))</f>
        <v>474.39725570496114</v>
      </c>
      <c r="T95" s="59">
        <f t="shared" si="88"/>
        <v>196.13536593828755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23.855070672263746</v>
      </c>
      <c r="AA95" s="21">
        <f>EXP(-LN(2)/25)*AA94+(1-EXP(-LN(2)/25))/(LN(2)/25)*Calculateur!V95*Calculateur!X95*VLOOKUP('Données projet'!$B$9,Paramètres!$A$1:$I$89,3,0)*0.475*44/12</f>
        <v>16.515306345482053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40.370377017745795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1.7053025658242404E-13</v>
      </c>
      <c r="AJ95" s="13">
        <f>AI95*VLOOKUP('Données projet'!$B$10,Paramètres!$A$1:$I$89,3,0)*VLOOKUP('Données projet'!$B$10,Paramètres!$A$1:$I$89,5,0)</f>
        <v>1.3301360013429075E-13</v>
      </c>
      <c r="AK95" s="13">
        <f t="shared" si="89"/>
        <v>1.9329766731057041E-12</v>
      </c>
      <c r="AL95" s="20">
        <f t="shared" si="58"/>
        <v>3.5982663925596575E-12</v>
      </c>
      <c r="AM95" s="59">
        <f t="shared" si="59"/>
        <v>275.0103020431153</v>
      </c>
      <c r="AN95" s="59">
        <f ca="1">AVERAGE(OFFSET($AM$3,0,0,'Données projet'!$E$10+1,1))-AVERAGE(OFFSET($H$3,0,0,'Données projet'!$E$10+1,1))</f>
        <v>381.55743422692029</v>
      </c>
      <c r="AO95" s="59">
        <f t="shared" si="90"/>
        <v>360.34132229290537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128.59198653069336</v>
      </c>
      <c r="AV95" s="21">
        <f>EXP(-LN(2)/25)*AV94+(1-EXP(-LN(2)/25))/(LN(2)/25)*Calculateur!AQ95*Calculateur!AS95*VLOOKUP('Données projet'!$B$10,Paramètres!$A$1:$I$89,3,0)*0.475*44/12</f>
        <v>17.896328705885992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146.48831523657935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-70</v>
      </c>
      <c r="BE95" s="13">
        <f>BD95*VLOOKUP('Données projet'!$B$11,Paramètres!$A$1:$I$89,3,0)*VLOOKUP('Données projet'!$B$11,Paramètres!$A$1:$I$89,5,0)</f>
        <v>-56.783999999999999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99.41315989132292</v>
      </c>
      <c r="BJ95" s="59">
        <f t="shared" si="92"/>
        <v>111.63051055870588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26.227496435185518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26.227496435185518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7.2</v>
      </c>
      <c r="N96" s="13">
        <f>IF('Données projet'!$A$36&gt;35,N95+M96-V95,IF(A96&lt;'Données projet'!$A$36,$K$205^A96,IF(A96='Données projet'!$A$36,'Données projet'!$B$36,N95+M96-V95)))</f>
        <v>240.6</v>
      </c>
      <c r="O96" s="13">
        <f>N96*VLOOKUP('Données projet'!$B$9,Paramètres!$A$1:$I$89,3,0)*VLOOKUP('Données projet'!$B$9,Paramètres!$A$1:$I$89,5,0)</f>
        <v>217.69487999999996</v>
      </c>
      <c r="P96" s="13">
        <f t="shared" si="87"/>
        <v>53.613572561591688</v>
      </c>
      <c r="Q96" s="20">
        <f t="shared" si="54"/>
        <v>472.52888821143875</v>
      </c>
      <c r="R96" s="59">
        <f t="shared" si="55"/>
        <v>747.85705388327472</v>
      </c>
      <c r="S96" s="59">
        <f ca="1">AVERAGE(OFFSET($R$3,0,0,'Données projet'!$E$9+1,1))-AVERAGE(OFFSET($H$3,0,0,'Données projet'!$E$9+1,1))</f>
        <v>474.39725570496114</v>
      </c>
      <c r="T96" s="59">
        <f t="shared" si="88"/>
        <v>196.13536593828755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23.387287286537056</v>
      </c>
      <c r="AA96" s="21">
        <f>EXP(-LN(2)/25)*AA95+(1-EXP(-LN(2)/25))/(LN(2)/25)*Calculateur!V96*Calculateur!X96*VLOOKUP('Données projet'!$B$9,Paramètres!$A$1:$I$89,3,0)*0.475*44/12</f>
        <v>16.06369442496263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39.450981711499686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1.7053025658242404E-13</v>
      </c>
      <c r="AJ96" s="13">
        <f>AI96*VLOOKUP('Données projet'!$B$10,Paramètres!$A$1:$I$89,3,0)*VLOOKUP('Données projet'!$B$10,Paramètres!$A$1:$I$89,5,0)</f>
        <v>1.3301360013429075E-13</v>
      </c>
      <c r="AK96" s="13">
        <f t="shared" si="89"/>
        <v>1.9329766731057041E-12</v>
      </c>
      <c r="AL96" s="20">
        <f t="shared" si="58"/>
        <v>3.5982663925596575E-12</v>
      </c>
      <c r="AM96" s="59">
        <f t="shared" si="59"/>
        <v>275.32816567183954</v>
      </c>
      <c r="AN96" s="59">
        <f ca="1">AVERAGE(OFFSET($AM$3,0,0,'Données projet'!$E$10+1,1))-AVERAGE(OFFSET($H$3,0,0,'Données projet'!$E$10+1,1))</f>
        <v>381.55743422692029</v>
      </c>
      <c r="AO96" s="59">
        <f t="shared" si="90"/>
        <v>360.34132229290537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126.0703761081936</v>
      </c>
      <c r="AV96" s="21">
        <f>EXP(-LN(2)/25)*AV95+(1-EXP(-LN(2)/25))/(LN(2)/25)*Calculateur!AQ96*Calculateur!AS96*VLOOKUP('Données projet'!$B$10,Paramètres!$A$1:$I$89,3,0)*0.475*44/12</f>
        <v>17.406952656296514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143.47732876449012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-70</v>
      </c>
      <c r="BE96" s="13">
        <f>BD96*VLOOKUP('Données projet'!$B$11,Paramètres!$A$1:$I$89,3,0)*VLOOKUP('Données projet'!$B$11,Paramètres!$A$1:$I$89,5,0)</f>
        <v>-56.783999999999999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99.41315989132292</v>
      </c>
      <c r="BJ96" s="59">
        <f t="shared" si="92"/>
        <v>111.63051055870588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25.713191227284764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25.713191227284764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7.2</v>
      </c>
      <c r="N97" s="13">
        <f>IF('Données projet'!$A$36&gt;35,N96+M97-V96,IF(A97&lt;'Données projet'!$A$36,$K$205^A97,IF(A97='Données projet'!$A$36,'Données projet'!$B$36,N96+M97-V96)))</f>
        <v>247.79999999999998</v>
      </c>
      <c r="O97" s="13">
        <f>N97*VLOOKUP('Données projet'!$B$9,Paramètres!$A$1:$I$89,3,0)*VLOOKUP('Données projet'!$B$9,Paramètres!$A$1:$I$89,5,0)</f>
        <v>224.20944</v>
      </c>
      <c r="P97" s="13">
        <f t="shared" si="87"/>
        <v>55.028775065392367</v>
      </c>
      <c r="Q97" s="20">
        <f t="shared" si="54"/>
        <v>486.3398912388916</v>
      </c>
      <c r="R97" s="59">
        <f t="shared" si="55"/>
        <v>761.98040631613003</v>
      </c>
      <c r="S97" s="59">
        <f ca="1">AVERAGE(OFFSET($R$3,0,0,'Données projet'!$E$9+1,1))-AVERAGE(OFFSET($H$3,0,0,'Données projet'!$E$9+1,1))</f>
        <v>474.39725570496114</v>
      </c>
      <c r="T97" s="59">
        <f t="shared" si="88"/>
        <v>196.13536593828755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22.928676847684773</v>
      </c>
      <c r="AA97" s="21">
        <f>EXP(-LN(2)/25)*AA96+(1-EXP(-LN(2)/25))/(LN(2)/25)*Calculateur!V97*Calculateur!X97*VLOOKUP('Données projet'!$B$9,Paramètres!$A$1:$I$89,3,0)*0.475*44/12</f>
        <v>15.624431856159051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38.553108703843826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1.7053025658242404E-13</v>
      </c>
      <c r="AJ97" s="13">
        <f>AI97*VLOOKUP('Données projet'!$B$10,Paramètres!$A$1:$I$89,3,0)*VLOOKUP('Données projet'!$B$10,Paramètres!$A$1:$I$89,5,0)</f>
        <v>1.3301360013429075E-13</v>
      </c>
      <c r="AK97" s="13">
        <f t="shared" si="89"/>
        <v>1.9329766731057041E-12</v>
      </c>
      <c r="AL97" s="20">
        <f t="shared" si="58"/>
        <v>3.5982663925596575E-12</v>
      </c>
      <c r="AM97" s="59">
        <f t="shared" si="59"/>
        <v>275.64051507724207</v>
      </c>
      <c r="AN97" s="59">
        <f ca="1">AVERAGE(OFFSET($AM$3,0,0,'Données projet'!$E$10+1,1))-AVERAGE(OFFSET($H$3,0,0,'Données projet'!$E$10+1,1))</f>
        <v>381.55743422692029</v>
      </c>
      <c r="AO97" s="59">
        <f t="shared" si="90"/>
        <v>360.34132229290537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123.59821292804857</v>
      </c>
      <c r="AV97" s="21">
        <f>EXP(-LN(2)/25)*AV96+(1-EXP(-LN(2)/25))/(LN(2)/25)*Calculateur!AQ97*Calculateur!AS97*VLOOKUP('Données projet'!$B$10,Paramètres!$A$1:$I$89,3,0)*0.475*44/12</f>
        <v>16.930958620518229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140.52917154856681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-70</v>
      </c>
      <c r="BE97" s="13">
        <f>BD97*VLOOKUP('Données projet'!$B$11,Paramètres!$A$1:$I$89,3,0)*VLOOKUP('Données projet'!$B$11,Paramètres!$A$1:$I$89,5,0)</f>
        <v>-56.783999999999999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99.41315989132292</v>
      </c>
      <c r="BJ97" s="59">
        <f t="shared" si="92"/>
        <v>111.63051055870588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25.208971230815742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25.208971230815742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255</v>
      </c>
      <c r="L98" s="12">
        <f>VLOOKUP(A98,'Données projet'!$A$35:$I$55,9,0)</f>
        <v>7.2</v>
      </c>
      <c r="M98" s="12">
        <f t="array" ref="M98">INDEX(L:L,MIN(IF(ISNUMBER(L98:L294),ROW(L98:L294),"")))</f>
        <v>7.2</v>
      </c>
      <c r="N98" s="13">
        <f>IF('Données projet'!$A$36&gt;35,N97+M98-V97,IF(A98&lt;'Données projet'!$A$36,$K$205^A98,IF(A98='Données projet'!$A$36,'Données projet'!$B$36,N97+M98-V97)))</f>
        <v>254.99999999999997</v>
      </c>
      <c r="O98" s="13">
        <f>N98*VLOOKUP('Données projet'!$B$9,Paramètres!$A$1:$I$89,3,0)*VLOOKUP('Données projet'!$B$9,Paramètres!$A$1:$I$89,5,0)</f>
        <v>230.72399999999996</v>
      </c>
      <c r="P98" s="13">
        <f t="shared" si="87"/>
        <v>56.439198612082045</v>
      </c>
      <c r="Q98" s="20">
        <f t="shared" si="54"/>
        <v>500.14257091604276</v>
      </c>
      <c r="R98" s="59">
        <f t="shared" si="55"/>
        <v>776.09001683480869</v>
      </c>
      <c r="S98" s="59">
        <f ca="1">AVERAGE(OFFSET($R$3,0,0,'Données projet'!$E$9+1,1))-AVERAGE(OFFSET($H$3,0,0,'Données projet'!$E$9+1,1))</f>
        <v>474.39725570496114</v>
      </c>
      <c r="T98" s="59">
        <f t="shared" si="88"/>
        <v>196.13536593828755</v>
      </c>
      <c r="U98" s="15">
        <f>IF(ISNA(VLOOKUP(A98,'Données projet'!$A$35:$I$55,3,0)),0,VLOOKUP(A98,'Données projet'!$A$35:$I$55,3,0))</f>
        <v>7</v>
      </c>
      <c r="V98" s="15">
        <f>IF(ISNA(VLOOKUP(A98,'Données projet'!$A$35:$I$55,4,0)),0,VLOOKUP(A98,'Données projet'!$A$35:$I$55,4,0))</f>
        <v>32</v>
      </c>
      <c r="W98" s="16">
        <f>IF(ISNA(VLOOKUP(A98,'Données projet'!$A$35:$I$55,5,0)),0%,VLOOKUP(A98,'Données projet'!$A$35:$I$55,5,0)*VLOOKUP('Données projet'!$B$9,Paramètres!$A$1:$I$89,7,0))</f>
        <v>0.215</v>
      </c>
      <c r="X98" s="16">
        <f>IF(ISNA(VLOOKUP(A98,'Données projet'!$A$35:$I$55,6,0)),0%,VLOOKUP(A98,'Données projet'!$A$35:$I$55,6,0)*VLOOKUP('Données projet'!$B$9,Paramètres!$A$1:$I$89,7,0))</f>
        <v>0.17200000000000001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29.360639123695357</v>
      </c>
      <c r="AA98" s="21">
        <f>EXP(-LN(2)/25)*AA97+(1-EXP(-LN(2)/25))/(LN(2)/25)*Calculateur!V98*Calculateur!X98*VLOOKUP('Données projet'!$B$9,Paramètres!$A$1:$I$89,3,0)*0.475*44/12</f>
        <v>20.680768339588298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50.041407463283655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1.7053025658242404E-13</v>
      </c>
      <c r="AJ98" s="13">
        <f>AI98*VLOOKUP('Données projet'!$B$10,Paramètres!$A$1:$I$89,3,0)*VLOOKUP('Données projet'!$B$10,Paramètres!$A$1:$I$89,5,0)</f>
        <v>1.3301360013429075E-13</v>
      </c>
      <c r="AK98" s="13">
        <f t="shared" si="89"/>
        <v>1.9329766731057041E-12</v>
      </c>
      <c r="AL98" s="20">
        <f t="shared" si="58"/>
        <v>3.5982663925596575E-12</v>
      </c>
      <c r="AM98" s="59">
        <f t="shared" si="59"/>
        <v>275.94744591876952</v>
      </c>
      <c r="AN98" s="59">
        <f ca="1">AVERAGE(OFFSET($AM$3,0,0,'Données projet'!$E$10+1,1))-AVERAGE(OFFSET($H$3,0,0,'Données projet'!$E$10+1,1))</f>
        <v>381.55743422692029</v>
      </c>
      <c r="AO98" s="59">
        <f t="shared" si="90"/>
        <v>360.34132229290537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121.17452735999552</v>
      </c>
      <c r="AV98" s="21">
        <f>EXP(-LN(2)/25)*AV97+(1-EXP(-LN(2)/25))/(LN(2)/25)*Calculateur!AQ98*Calculateur!AS98*VLOOKUP('Données projet'!$B$10,Paramètres!$A$1:$I$89,3,0)*0.475*44/12</f>
        <v>16.46798066667974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137.64250802667527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-70</v>
      </c>
      <c r="BE98" s="13">
        <f>BD98*VLOOKUP('Données projet'!$B$11,Paramètres!$A$1:$I$89,3,0)*VLOOKUP('Données projet'!$B$11,Paramètres!$A$1:$I$89,5,0)</f>
        <v>-56.783999999999999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99.41315989132292</v>
      </c>
      <c r="BJ98" s="59">
        <f t="shared" si="92"/>
        <v>111.63051055870588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24.714638680933646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24.714638680933646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5.7</v>
      </c>
      <c r="N99" s="13">
        <f>IF('Données projet'!$A$36&gt;35,N98+M99-V98,IF(A99&lt;'Données projet'!$A$36,$K$205^A99,IF(A99='Données projet'!$A$36,'Données projet'!$B$36,N98+M99-V98)))</f>
        <v>228.7</v>
      </c>
      <c r="O99" s="13">
        <f>N99*VLOOKUP('Données projet'!$B$9,Paramètres!$A$1:$I$89,3,0)*VLOOKUP('Données projet'!$B$9,Paramètres!$A$1:$I$89,5,0)</f>
        <v>206.92775999999998</v>
      </c>
      <c r="P99" s="13">
        <f t="shared" si="87"/>
        <v>51.263649194955747</v>
      </c>
      <c r="Q99" s="20">
        <f t="shared" ref="Q99:Q130" si="107">(O99+P99)*0.475*44/12</f>
        <v>449.68337101454784</v>
      </c>
      <c r="R99" s="59">
        <f t="shared" si="55"/>
        <v>725.93242321093521</v>
      </c>
      <c r="S99" s="59">
        <f ca="1">AVERAGE(OFFSET($R$3,0,0,'Données projet'!$E$9+1,1))-AVERAGE(OFFSET($H$3,0,0,'Données projet'!$E$9+1,1))</f>
        <v>474.39725570496114</v>
      </c>
      <c r="T99" s="59">
        <f t="shared" si="88"/>
        <v>196.13536593828755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28.784894898701268</v>
      </c>
      <c r="AA99" s="21">
        <f>EXP(-LN(2)/25)*AA98+(1-EXP(-LN(2)/25))/(LN(2)/25)*Calculateur!V99*Calculateur!X99*VLOOKUP('Données projet'!$B$9,Paramètres!$A$1:$I$89,3,0)*0.475*44/12</f>
        <v>20.115251641787914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48.900146540489182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1.7053025658242404E-13</v>
      </c>
      <c r="AJ99" s="13">
        <f>AI99*VLOOKUP('Données projet'!$B$10,Paramètres!$A$1:$I$89,3,0)*VLOOKUP('Données projet'!$B$10,Paramètres!$A$1:$I$89,5,0)</f>
        <v>1.3301360013429075E-13</v>
      </c>
      <c r="AK99" s="13">
        <f t="shared" si="89"/>
        <v>1.9329766731057041E-12</v>
      </c>
      <c r="AL99" s="20">
        <f t="shared" si="58"/>
        <v>3.5982663925596575E-12</v>
      </c>
      <c r="AM99" s="59">
        <f t="shared" si="59"/>
        <v>276.24905219639101</v>
      </c>
      <c r="AN99" s="59">
        <f ca="1">AVERAGE(OFFSET($AM$3,0,0,'Données projet'!$E$10+1,1))-AVERAGE(OFFSET($H$3,0,0,'Données projet'!$E$10+1,1))</f>
        <v>381.55743422692029</v>
      </c>
      <c r="AO99" s="59">
        <f t="shared" si="90"/>
        <v>360.34132229290537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118.79836878762977</v>
      </c>
      <c r="AV99" s="21">
        <f>EXP(-LN(2)/25)*AV98+(1-EXP(-LN(2)/25))/(LN(2)/25)*Calculateur!AQ99*Calculateur!AS99*VLOOKUP('Données projet'!$B$10,Paramètres!$A$1:$I$89,3,0)*0.475*44/12</f>
        <v>16.017662869335918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134.81603165696569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-70</v>
      </c>
      <c r="BE99" s="13">
        <f>BD99*VLOOKUP('Données projet'!$B$11,Paramètres!$A$1:$I$89,3,0)*VLOOKUP('Données projet'!$B$11,Paramètres!$A$1:$I$89,5,0)</f>
        <v>-56.783999999999999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99.41315989132292</v>
      </c>
      <c r="BJ99" s="59">
        <f t="shared" si="92"/>
        <v>111.63051055870588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24.229999690841655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24.229999690841655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5.7</v>
      </c>
      <c r="N100" s="13">
        <f>IF('Données projet'!$A$36&gt;35,N99+M100-V99,IF(A100&lt;'Données projet'!$A$36,$K$205^A100,IF(A100='Données projet'!$A$36,'Données projet'!$B$36,N99+M100-V99)))</f>
        <v>234.39999999999998</v>
      </c>
      <c r="O100" s="13">
        <f>N100*VLOOKUP('Données projet'!$B$9,Paramètres!$A$1:$I$89,3,0)*VLOOKUP('Données projet'!$B$9,Paramètres!$A$1:$I$89,5,0)</f>
        <v>212.08511999999996</v>
      </c>
      <c r="P100" s="13">
        <f t="shared" si="87"/>
        <v>52.390974537063087</v>
      </c>
      <c r="Q100" s="20">
        <f t="shared" si="107"/>
        <v>460.62919798538474</v>
      </c>
      <c r="R100" s="59">
        <f t="shared" si="55"/>
        <v>737.17462426476754</v>
      </c>
      <c r="S100" s="59">
        <f ca="1">AVERAGE(OFFSET($R$3,0,0,'Données projet'!$E$9+1,1))-AVERAGE(OFFSET($H$3,0,0,'Données projet'!$E$9+1,1))</f>
        <v>474.39725570496114</v>
      </c>
      <c r="T100" s="59">
        <f t="shared" si="88"/>
        <v>196.13536593828755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28.220440666790008</v>
      </c>
      <c r="AA100" s="21">
        <f>EXP(-LN(2)/25)*AA99+(1-EXP(-LN(2)/25))/(LN(2)/25)*Calculateur!V100*Calculateur!X100*VLOOKUP('Données projet'!$B$9,Paramètres!$A$1:$I$89,3,0)*0.475*44/12</f>
        <v>19.565199027828115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47.785639694618126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1.7053025658242404E-13</v>
      </c>
      <c r="AJ100" s="13">
        <f>AI100*VLOOKUP('Données projet'!$B$10,Paramètres!$A$1:$I$89,3,0)*VLOOKUP('Données projet'!$B$10,Paramètres!$A$1:$I$89,5,0)</f>
        <v>1.3301360013429075E-13</v>
      </c>
      <c r="AK100" s="13">
        <f t="shared" si="89"/>
        <v>1.9329766731057041E-12</v>
      </c>
      <c r="AL100" s="20">
        <f t="shared" si="58"/>
        <v>3.5982663925596575E-12</v>
      </c>
      <c r="AM100" s="59">
        <f t="shared" si="59"/>
        <v>276.54542627938639</v>
      </c>
      <c r="AN100" s="59">
        <f ca="1">AVERAGE(OFFSET($AM$3,0,0,'Données projet'!$E$10+1,1))-AVERAGE(OFFSET($H$3,0,0,'Données projet'!$E$10+1,1))</f>
        <v>381.55743422692029</v>
      </c>
      <c r="AO100" s="59">
        <f t="shared" si="90"/>
        <v>360.34132229290537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116.4688052355545</v>
      </c>
      <c r="AV100" s="21">
        <f>EXP(-LN(2)/25)*AV99+(1-EXP(-LN(2)/25))/(LN(2)/25)*Calculateur!AQ100*Calculateur!AS100*VLOOKUP('Données projet'!$B$10,Paramètres!$A$1:$I$89,3,0)*0.475*44/12</f>
        <v>15.579659035841646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132.04846427139614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-70</v>
      </c>
      <c r="BE100" s="13">
        <f>BD100*VLOOKUP('Données projet'!$B$11,Paramètres!$A$1:$I$89,3,0)*VLOOKUP('Données projet'!$B$11,Paramètres!$A$1:$I$89,5,0)</f>
        <v>-56.783999999999999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99.41315989132292</v>
      </c>
      <c r="BJ100" s="59">
        <f t="shared" si="92"/>
        <v>111.63051055870588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23.754864175744771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23.754864175744771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5.7</v>
      </c>
      <c r="N101" s="13">
        <f>IF('Données projet'!$A$36&gt;35,N100+M101-V100,IF(A101&lt;'Données projet'!$A$36,$K$205^A101,IF(A101='Données projet'!$A$36,'Données projet'!$B$36,N100+M101-V100)))</f>
        <v>240.09999999999997</v>
      </c>
      <c r="O101" s="13">
        <f>N101*VLOOKUP('Données projet'!$B$9,Paramètres!$A$1:$I$89,3,0)*VLOOKUP('Données projet'!$B$9,Paramètres!$A$1:$I$89,5,0)</f>
        <v>217.24247999999997</v>
      </c>
      <c r="P101" s="13">
        <f t="shared" si="87"/>
        <v>53.51511311271868</v>
      </c>
      <c r="Q101" s="20">
        <f t="shared" si="107"/>
        <v>471.56947467131835</v>
      </c>
      <c r="R101" s="59">
        <f t="shared" si="55"/>
        <v>748.40613360594966</v>
      </c>
      <c r="S101" s="59">
        <f ca="1">AVERAGE(OFFSET($R$3,0,0,'Données projet'!$E$9+1,1))-AVERAGE(OFFSET($H$3,0,0,'Données projet'!$E$9+1,1))</f>
        <v>474.39725570496114</v>
      </c>
      <c r="T101" s="59">
        <f t="shared" si="88"/>
        <v>196.13536593828755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27.667055038083443</v>
      </c>
      <c r="AA101" s="21">
        <f>EXP(-LN(2)/25)*AA100+(1-EXP(-LN(2)/25))/(LN(2)/25)*Calculateur!V101*Calculateur!X101*VLOOKUP('Données projet'!$B$9,Paramètres!$A$1:$I$89,3,0)*0.475*44/12</f>
        <v>19.030187631523056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46.697242669606496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1.7053025658242404E-13</v>
      </c>
      <c r="AJ101" s="13">
        <f>AI101*VLOOKUP('Données projet'!$B$10,Paramètres!$A$1:$I$89,3,0)*VLOOKUP('Données projet'!$B$10,Paramètres!$A$1:$I$89,5,0)</f>
        <v>1.3301360013429075E-13</v>
      </c>
      <c r="AK101" s="13">
        <f t="shared" si="89"/>
        <v>1.9329766731057041E-12</v>
      </c>
      <c r="AL101" s="20">
        <f t="shared" si="58"/>
        <v>3.5982663925596575E-12</v>
      </c>
      <c r="AM101" s="59">
        <f t="shared" si="59"/>
        <v>276.83665893463495</v>
      </c>
      <c r="AN101" s="59">
        <f ca="1">AVERAGE(OFFSET($AM$3,0,0,'Données projet'!$E$10+1,1))-AVERAGE(OFFSET($H$3,0,0,'Données projet'!$E$10+1,1))</f>
        <v>381.55743422692029</v>
      </c>
      <c r="AO101" s="59">
        <f t="shared" si="90"/>
        <v>360.34132229290537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114.18492300384196</v>
      </c>
      <c r="AV101" s="21">
        <f>EXP(-LN(2)/25)*AV100+(1-EXP(-LN(2)/25))/(LN(2)/25)*Calculateur!AQ101*Calculateur!AS101*VLOOKUP('Données projet'!$B$10,Paramètres!$A$1:$I$89,3,0)*0.475*44/12</f>
        <v>15.153632440207895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129.33855544404986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-70</v>
      </c>
      <c r="BE101" s="13">
        <f>BD101*VLOOKUP('Données projet'!$B$11,Paramètres!$A$1:$I$89,3,0)*VLOOKUP('Données projet'!$B$11,Paramètres!$A$1:$I$89,5,0)</f>
        <v>-56.783999999999999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99.41315989132292</v>
      </c>
      <c r="BJ101" s="59">
        <f t="shared" si="92"/>
        <v>111.63051055870588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23.289045778294891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23.289045778294891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5.7</v>
      </c>
      <c r="N102" s="13">
        <f>IF('Données projet'!$A$36&gt;35,N101+M102-V101,IF(A102&lt;'Données projet'!$A$36,$K$205^A102,IF(A102='Données projet'!$A$36,'Données projet'!$B$36,N101+M102-V101)))</f>
        <v>245.79999999999995</v>
      </c>
      <c r="O102" s="13">
        <f>N102*VLOOKUP('Données projet'!$B$9,Paramètres!$A$1:$I$89,3,0)*VLOOKUP('Données projet'!$B$9,Paramètres!$A$1:$I$89,5,0)</f>
        <v>222.39983999999995</v>
      </c>
      <c r="P102" s="13">
        <f t="shared" si="87"/>
        <v>54.636149281681448</v>
      </c>
      <c r="Q102" s="20">
        <f t="shared" si="107"/>
        <v>482.50434799892838</v>
      </c>
      <c r="R102" s="59">
        <f t="shared" si="55"/>
        <v>759.62718735333851</v>
      </c>
      <c r="S102" s="59">
        <f ca="1">AVERAGE(OFFSET($R$3,0,0,'Données projet'!$E$9+1,1))-AVERAGE(OFFSET($H$3,0,0,'Données projet'!$E$9+1,1))</f>
        <v>474.39725570496114</v>
      </c>
      <c r="T102" s="59">
        <f t="shared" si="88"/>
        <v>196.13536593828755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27.124520964023908</v>
      </c>
      <c r="AA102" s="21">
        <f>EXP(-LN(2)/25)*AA101+(1-EXP(-LN(2)/25))/(LN(2)/25)*Calculateur!V102*Calculateur!X102*VLOOKUP('Données projet'!$B$9,Paramètres!$A$1:$I$89,3,0)*0.475*44/12</f>
        <v>18.509806149984986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45.634327114008897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1.7053025658242404E-13</v>
      </c>
      <c r="AJ102" s="13">
        <f>AI102*VLOOKUP('Données projet'!$B$10,Paramètres!$A$1:$I$89,3,0)*VLOOKUP('Données projet'!$B$10,Paramètres!$A$1:$I$89,5,0)</f>
        <v>1.3301360013429075E-13</v>
      </c>
      <c r="AK102" s="13">
        <f t="shared" si="89"/>
        <v>1.9329766731057041E-12</v>
      </c>
      <c r="AL102" s="20">
        <f t="shared" si="58"/>
        <v>3.5982663925596575E-12</v>
      </c>
      <c r="AM102" s="59">
        <f t="shared" si="59"/>
        <v>277.12283935441371</v>
      </c>
      <c r="AN102" s="59">
        <f ca="1">AVERAGE(OFFSET($AM$3,0,0,'Données projet'!$E$10+1,1))-AVERAGE(OFFSET($H$3,0,0,'Données projet'!$E$10+1,1))</f>
        <v>381.55743422692029</v>
      </c>
      <c r="AO102" s="59">
        <f t="shared" si="90"/>
        <v>360.34132229290537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111.94582630966269</v>
      </c>
      <c r="AV102" s="21">
        <f>EXP(-LN(2)/25)*AV101+(1-EXP(-LN(2)/25))/(LN(2)/25)*Calculateur!AQ102*Calculateur!AS102*VLOOKUP('Données projet'!$B$10,Paramètres!$A$1:$I$89,3,0)*0.475*44/12</f>
        <v>14.739255564235513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126.68508187389821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-70</v>
      </c>
      <c r="BE102" s="13">
        <f>BD102*VLOOKUP('Données projet'!$B$11,Paramètres!$A$1:$I$89,3,0)*VLOOKUP('Données projet'!$B$11,Paramètres!$A$1:$I$89,5,0)</f>
        <v>-56.783999999999999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99.41315989132292</v>
      </c>
      <c r="BJ102" s="59">
        <f t="shared" si="92"/>
        <v>111.63051055870588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22.832361795497835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22.832361795497835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5.7</v>
      </c>
      <c r="N103" s="13">
        <f>IF('Données projet'!$A$36&gt;35,N102+M103-V102,IF(A103&lt;'Données projet'!$A$36,$K$205^A103,IF(A103='Données projet'!$A$36,'Données projet'!$B$36,N102+M103-V102)))</f>
        <v>251.49999999999994</v>
      </c>
      <c r="O103" s="13">
        <f>N103*VLOOKUP('Données projet'!$B$9,Paramètres!$A$1:$I$89,3,0)*VLOOKUP('Données projet'!$B$9,Paramètres!$A$1:$I$89,5,0)</f>
        <v>227.55719999999994</v>
      </c>
      <c r="P103" s="13">
        <f t="shared" si="87"/>
        <v>55.754163267932704</v>
      </c>
      <c r="Q103" s="20">
        <f t="shared" si="107"/>
        <v>493.43395769164931</v>
      </c>
      <c r="R103" s="59">
        <f t="shared" si="55"/>
        <v>770.83801287535857</v>
      </c>
      <c r="S103" s="59">
        <f ca="1">AVERAGE(OFFSET($R$3,0,0,'Données projet'!$E$9+1,1))-AVERAGE(OFFSET($H$3,0,0,'Données projet'!$E$9+1,1))</f>
        <v>474.39725570496114</v>
      </c>
      <c r="T103" s="59">
        <f t="shared" si="88"/>
        <v>196.13536593828755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26.592625652243569</v>
      </c>
      <c r="AA103" s="21">
        <f>EXP(-LN(2)/25)*AA102+(1-EXP(-LN(2)/25))/(LN(2)/25)*Calculateur!V103*Calculateur!X103*VLOOKUP('Données projet'!$B$9,Paramètres!$A$1:$I$89,3,0)*0.475*44/12</f>
        <v>18.003654527425244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44.59628017966881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1.7053025658242404E-13</v>
      </c>
      <c r="AJ103" s="13">
        <f>AI103*VLOOKUP('Données projet'!$B$10,Paramètres!$A$1:$I$89,3,0)*VLOOKUP('Données projet'!$B$10,Paramètres!$A$1:$I$89,5,0)</f>
        <v>1.3301360013429075E-13</v>
      </c>
      <c r="AK103" s="13">
        <f t="shared" si="89"/>
        <v>1.9329766731057041E-12</v>
      </c>
      <c r="AL103" s="20">
        <f t="shared" si="58"/>
        <v>3.5982663925596575E-12</v>
      </c>
      <c r="AM103" s="59">
        <f t="shared" si="59"/>
        <v>277.40405518371279</v>
      </c>
      <c r="AN103" s="59">
        <f ca="1">AVERAGE(OFFSET($AM$3,0,0,'Données projet'!$E$10+1,1))-AVERAGE(OFFSET($H$3,0,0,'Données projet'!$E$10+1,1))</f>
        <v>381.55743422692029</v>
      </c>
      <c r="AO103" s="59">
        <f t="shared" si="90"/>
        <v>360.34132229290537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109.75063693594214</v>
      </c>
      <c r="AV103" s="21">
        <f>EXP(-LN(2)/25)*AV102+(1-EXP(-LN(2)/25))/(LN(2)/25)*Calculateur!AQ103*Calculateur!AS103*VLOOKUP('Données projet'!$B$10,Paramètres!$A$1:$I$89,3,0)*0.475*44/12</f>
        <v>14.33620984572773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124.08684678166986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-70</v>
      </c>
      <c r="BE103" s="13">
        <f>BD103*VLOOKUP('Données projet'!$B$11,Paramètres!$A$1:$I$89,3,0)*VLOOKUP('Données projet'!$B$11,Paramètres!$A$1:$I$89,5,0)</f>
        <v>-56.783999999999999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99.41315989132292</v>
      </c>
      <c r="BJ103" s="59">
        <f t="shared" si="92"/>
        <v>111.63051055870588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22.384633107053702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22.384633107053702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5.7</v>
      </c>
      <c r="N104" s="13">
        <f>IF('Données projet'!$A$36&gt;35,N103+M104-V103,IF(A104&lt;'Données projet'!$A$36,$K$205^A104,IF(A104='Données projet'!$A$36,'Données projet'!$B$36,N103+M104-V103)))</f>
        <v>257.19999999999993</v>
      </c>
      <c r="O104" s="13">
        <f>N104*VLOOKUP('Données projet'!$B$9,Paramètres!$A$1:$I$89,3,0)*VLOOKUP('Données projet'!$B$9,Paramètres!$A$1:$I$89,5,0)</f>
        <v>232.71455999999995</v>
      </c>
      <c r="P104" s="13">
        <f t="shared" si="87"/>
        <v>56.869231451501811</v>
      </c>
      <c r="Q104" s="20">
        <f t="shared" si="107"/>
        <v>504.35843677803229</v>
      </c>
      <c r="R104" s="59">
        <f t="shared" si="55"/>
        <v>782.03882932510669</v>
      </c>
      <c r="S104" s="59">
        <f ca="1">AVERAGE(OFFSET($R$3,0,0,'Données projet'!$E$9+1,1))-AVERAGE(OFFSET($H$3,0,0,'Données projet'!$E$9+1,1))</f>
        <v>474.39725570496114</v>
      </c>
      <c r="T104" s="59">
        <f t="shared" si="88"/>
        <v>196.13536593828755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26.071160483103139</v>
      </c>
      <c r="AA104" s="21">
        <f>EXP(-LN(2)/25)*AA103+(1-EXP(-LN(2)/25))/(LN(2)/25)*Calculateur!V104*Calculateur!X104*VLOOKUP('Données projet'!$B$9,Paramètres!$A$1:$I$89,3,0)*0.475*44/12</f>
        <v>17.511343647601755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43.582504130704891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1.7053025658242404E-13</v>
      </c>
      <c r="AJ104" s="13">
        <f>AI104*VLOOKUP('Données projet'!$B$10,Paramètres!$A$1:$I$89,3,0)*VLOOKUP('Données projet'!$B$10,Paramètres!$A$1:$I$89,5,0)</f>
        <v>1.3301360013429075E-13</v>
      </c>
      <c r="AK104" s="13">
        <f t="shared" si="89"/>
        <v>1.9329766731057041E-12</v>
      </c>
      <c r="AL104" s="20">
        <f t="shared" si="58"/>
        <v>3.5982663925596575E-12</v>
      </c>
      <c r="AM104" s="59">
        <f t="shared" si="59"/>
        <v>277.68039254707799</v>
      </c>
      <c r="AN104" s="59">
        <f ca="1">AVERAGE(OFFSET($AM$3,0,0,'Données projet'!$E$10+1,1))-AVERAGE(OFFSET($H$3,0,0,'Données projet'!$E$10+1,1))</f>
        <v>381.55743422692029</v>
      </c>
      <c r="AO104" s="59">
        <f t="shared" si="90"/>
        <v>360.34132229290537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107.59849388690694</v>
      </c>
      <c r="AV104" s="21">
        <f>EXP(-LN(2)/25)*AV103+(1-EXP(-LN(2)/25))/(LN(2)/25)*Calculateur!AQ104*Calculateur!AS104*VLOOKUP('Données projet'!$B$10,Paramètres!$A$1:$I$89,3,0)*0.475*44/12</f>
        <v>13.944185433587796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121.54267932049473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-70</v>
      </c>
      <c r="BE104" s="13">
        <f>BD104*VLOOKUP('Données projet'!$B$11,Paramètres!$A$1:$I$89,3,0)*VLOOKUP('Données projet'!$B$11,Paramètres!$A$1:$I$89,5,0)</f>
        <v>-56.783999999999999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99.41315989132292</v>
      </c>
      <c r="BJ104" s="59">
        <f t="shared" si="92"/>
        <v>111.63051055870588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21.945684105102426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21.945684105102426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5.7</v>
      </c>
      <c r="N105" s="13">
        <f>IF('Données projet'!$A$36&gt;35,N104+M105-V104,IF(A105&lt;'Données projet'!$A$36,$K$205^A105,IF(A105='Données projet'!$A$36,'Données projet'!$B$36,N104+M105-V104)))</f>
        <v>262.89999999999992</v>
      </c>
      <c r="O105" s="13">
        <f>N105*VLOOKUP('Données projet'!$B$9,Paramètres!$A$1:$I$89,3,0)*VLOOKUP('Données projet'!$B$9,Paramètres!$A$1:$I$89,5,0)</f>
        <v>237.87191999999993</v>
      </c>
      <c r="P105" s="13">
        <f t="shared" si="87"/>
        <v>57.981426633693381</v>
      </c>
      <c r="Q105" s="20">
        <f t="shared" si="107"/>
        <v>515.27791205368248</v>
      </c>
      <c r="R105" s="59">
        <f t="shared" si="55"/>
        <v>793.22984812866548</v>
      </c>
      <c r="S105" s="59">
        <f ca="1">AVERAGE(OFFSET($R$3,0,0,'Données projet'!$E$9+1,1))-AVERAGE(OFFSET($H$3,0,0,'Données projet'!$E$9+1,1))</f>
        <v>474.39725570496114</v>
      </c>
      <c r="T105" s="59">
        <f t="shared" si="88"/>
        <v>196.13536593828755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25.559920927867203</v>
      </c>
      <c r="AA105" s="21">
        <f>EXP(-LN(2)/25)*AA104+(1-EXP(-LN(2)/25))/(LN(2)/25)*Calculateur!V105*Calculateur!X105*VLOOKUP('Données projet'!$B$9,Paramètres!$A$1:$I$89,3,0)*0.475*44/12</f>
        <v>17.032495034676547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42.592415962543754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1.7053025658242404E-13</v>
      </c>
      <c r="AJ105" s="13">
        <f>AI105*VLOOKUP('Données projet'!$B$10,Paramètres!$A$1:$I$89,3,0)*VLOOKUP('Données projet'!$B$10,Paramètres!$A$1:$I$89,5,0)</f>
        <v>1.3301360013429075E-13</v>
      </c>
      <c r="AK105" s="13">
        <f t="shared" si="89"/>
        <v>1.9329766731057041E-12</v>
      </c>
      <c r="AL105" s="20">
        <f t="shared" si="58"/>
        <v>3.5982663925596575E-12</v>
      </c>
      <c r="AM105" s="59">
        <f t="shared" si="59"/>
        <v>277.95193607498652</v>
      </c>
      <c r="AN105" s="59">
        <f ca="1">AVERAGE(OFFSET($AM$3,0,0,'Données projet'!$E$10+1,1))-AVERAGE(OFFSET($H$3,0,0,'Données projet'!$E$10+1,1))</f>
        <v>381.55743422692029</v>
      </c>
      <c r="AO105" s="59">
        <f t="shared" si="90"/>
        <v>360.34132229290537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105.48855305038568</v>
      </c>
      <c r="AV105" s="21">
        <f>EXP(-LN(2)/25)*AV104+(1-EXP(-LN(2)/25))/(LN(2)/25)*Calculateur!AQ105*Calculateur!AS105*VLOOKUP('Données projet'!$B$10,Paramètres!$A$1:$I$89,3,0)*0.475*44/12</f>
        <v>13.562880949613495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119.05143399999918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-70</v>
      </c>
      <c r="BE105" s="13">
        <f>BD105*VLOOKUP('Données projet'!$B$11,Paramètres!$A$1:$I$89,3,0)*VLOOKUP('Données projet'!$B$11,Paramètres!$A$1:$I$89,5,0)</f>
        <v>-56.783999999999999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99.41315989132292</v>
      </c>
      <c r="BJ105" s="59">
        <f t="shared" si="92"/>
        <v>111.63051055870588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21.51534262534696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21.51534262534696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5.7</v>
      </c>
      <c r="N106" s="13">
        <f>IF('Données projet'!$A$36&gt;35,N105+M106-V105,IF(A106&lt;'Données projet'!$A$36,$K$205^A106,IF(A106='Données projet'!$A$36,'Données projet'!$B$36,N105+M106-V105)))</f>
        <v>268.59999999999991</v>
      </c>
      <c r="O106" s="13">
        <f>N106*VLOOKUP('Données projet'!$B$9,Paramètres!$A$1:$I$89,3,0)*VLOOKUP('Données projet'!$B$9,Paramètres!$A$1:$I$89,5,0)</f>
        <v>243.02927999999989</v>
      </c>
      <c r="P106" s="13">
        <f t="shared" si="87"/>
        <v>59.09081827866347</v>
      </c>
      <c r="Q106" s="20">
        <f t="shared" si="107"/>
        <v>526.19250450200536</v>
      </c>
      <c r="R106" s="59">
        <f t="shared" si="55"/>
        <v>804.411273431768</v>
      </c>
      <c r="S106" s="59">
        <f ca="1">AVERAGE(OFFSET($R$3,0,0,'Données projet'!$E$9+1,1))-AVERAGE(OFFSET($H$3,0,0,'Données projet'!$E$9+1,1))</f>
        <v>474.39725570496114</v>
      </c>
      <c r="T106" s="59">
        <f t="shared" si="88"/>
        <v>196.13536593828755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25.058706468484107</v>
      </c>
      <c r="AA106" s="21">
        <f>EXP(-LN(2)/25)*AA105+(1-EXP(-LN(2)/25))/(LN(2)/25)*Calculateur!V106*Calculateur!X106*VLOOKUP('Données projet'!$B$9,Paramètres!$A$1:$I$89,3,0)*0.475*44/12</f>
        <v>16.566740562253329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41.625447030737433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1.7053025658242404E-13</v>
      </c>
      <c r="AJ106" s="13">
        <f>AI106*VLOOKUP('Données projet'!$B$10,Paramètres!$A$1:$I$89,3,0)*VLOOKUP('Données projet'!$B$10,Paramètres!$A$1:$I$89,5,0)</f>
        <v>1.3301360013429075E-13</v>
      </c>
      <c r="AK106" s="13">
        <f t="shared" si="89"/>
        <v>1.9329766731057041E-12</v>
      </c>
      <c r="AL106" s="20">
        <f t="shared" si="58"/>
        <v>3.5982663925596575E-12</v>
      </c>
      <c r="AM106" s="59">
        <f t="shared" si="59"/>
        <v>278.21876892976627</v>
      </c>
      <c r="AN106" s="59">
        <f ca="1">AVERAGE(OFFSET($AM$3,0,0,'Données projet'!$E$10+1,1))-AVERAGE(OFFSET($H$3,0,0,'Données projet'!$E$10+1,1))</f>
        <v>381.55743422692029</v>
      </c>
      <c r="AO106" s="59">
        <f t="shared" si="90"/>
        <v>360.34132229290537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103.41998686673176</v>
      </c>
      <c r="AV106" s="21">
        <f>EXP(-LN(2)/25)*AV105+(1-EXP(-LN(2)/25))/(LN(2)/25)*Calculateur!AQ106*Calculateur!AS106*VLOOKUP('Données projet'!$B$10,Paramètres!$A$1:$I$89,3,0)*0.475*44/12</f>
        <v>13.192003256805403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116.61199012353717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-70</v>
      </c>
      <c r="BE106" s="13">
        <f>BD106*VLOOKUP('Données projet'!$B$11,Paramètres!$A$1:$I$89,3,0)*VLOOKUP('Données projet'!$B$11,Paramètres!$A$1:$I$89,5,0)</f>
        <v>-56.783999999999999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99.41315989132292</v>
      </c>
      <c r="BJ106" s="59">
        <f t="shared" si="92"/>
        <v>111.63051055870588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21.093439879527114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21.093439879527114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5.7</v>
      </c>
      <c r="N107" s="13">
        <f>IF('Données projet'!$A$36&gt;35,N106+M107-V106,IF(A107&lt;'Données projet'!$A$36,$K$205^A107,IF(A107='Données projet'!$A$36,'Données projet'!$B$36,N106+M107-V106)))</f>
        <v>274.2999999999999</v>
      </c>
      <c r="O107" s="13">
        <f>N107*VLOOKUP('Données projet'!$B$9,Paramètres!$A$1:$I$89,3,0)*VLOOKUP('Données projet'!$B$9,Paramètres!$A$1:$I$89,5,0)</f>
        <v>248.1866399999999</v>
      </c>
      <c r="P107" s="13">
        <f t="shared" si="87"/>
        <v>60.197472733911383</v>
      </c>
      <c r="Q107" s="20">
        <f t="shared" si="107"/>
        <v>537.10232967822878</v>
      </c>
      <c r="R107" s="59">
        <f t="shared" si="55"/>
        <v>815.58330250928975</v>
      </c>
      <c r="S107" s="59">
        <f ca="1">AVERAGE(OFFSET($R$3,0,0,'Données projet'!$E$9+1,1))-AVERAGE(OFFSET($H$3,0,0,'Données projet'!$E$9+1,1))</f>
        <v>474.39725570496114</v>
      </c>
      <c r="T107" s="59">
        <f t="shared" si="88"/>
        <v>196.13536593828755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24.567320518938882</v>
      </c>
      <c r="AA107" s="21">
        <f>EXP(-LN(2)/25)*AA106+(1-EXP(-LN(2)/25))/(LN(2)/25)*Calculateur!V107*Calculateur!X107*VLOOKUP('Données projet'!$B$9,Paramètres!$A$1:$I$89,3,0)*0.475*44/12</f>
        <v>16.113722170371489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40.681042689310374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1.7053025658242404E-13</v>
      </c>
      <c r="AJ107" s="13">
        <f>AI107*VLOOKUP('Données projet'!$B$10,Paramètres!$A$1:$I$89,3,0)*VLOOKUP('Données projet'!$B$10,Paramètres!$A$1:$I$89,5,0)</f>
        <v>1.3301360013429075E-13</v>
      </c>
      <c r="AK107" s="13">
        <f t="shared" si="89"/>
        <v>1.9329766731057041E-12</v>
      </c>
      <c r="AL107" s="20">
        <f t="shared" si="58"/>
        <v>3.5982663925596575E-12</v>
      </c>
      <c r="AM107" s="59">
        <f t="shared" si="59"/>
        <v>278.48097283106449</v>
      </c>
      <c r="AN107" s="59">
        <f ca="1">AVERAGE(OFFSET($AM$3,0,0,'Données projet'!$E$10+1,1))-AVERAGE(OFFSET($H$3,0,0,'Données projet'!$E$10+1,1))</f>
        <v>381.55743422692029</v>
      </c>
      <c r="AO107" s="59">
        <f t="shared" si="90"/>
        <v>360.34132229290537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101.39198400423851</v>
      </c>
      <c r="AV107" s="21">
        <f>EXP(-LN(2)/25)*AV106+(1-EXP(-LN(2)/25))/(LN(2)/25)*Calculateur!AQ107*Calculateur!AS107*VLOOKUP('Données projet'!$B$10,Paramètres!$A$1:$I$89,3,0)*0.475*44/12</f>
        <v>12.83126723401076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114.22325123824928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-70</v>
      </c>
      <c r="BE107" s="13">
        <f>BD107*VLOOKUP('Données projet'!$B$11,Paramètres!$A$1:$I$89,3,0)*VLOOKUP('Données projet'!$B$11,Paramètres!$A$1:$I$89,5,0)</f>
        <v>-56.783999999999999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99.41315989132292</v>
      </c>
      <c r="BJ107" s="59">
        <f t="shared" si="92"/>
        <v>111.63051055870588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20.679810389217529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20.679810389217529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280</v>
      </c>
      <c r="L108" s="12">
        <f>VLOOKUP(A108,'Données projet'!$A$35:$I$55,9,0)</f>
        <v>5.7</v>
      </c>
      <c r="M108" s="12">
        <f t="array" ref="M108">INDEX(L:L,MIN(IF(ISNUMBER(L108:L304),ROW(L108:L304),"")))</f>
        <v>5.7</v>
      </c>
      <c r="N108" s="13">
        <f>IF('Données projet'!$A$36&gt;35,N107+M108-V107,IF(A108&lt;'Données projet'!$A$36,$K$205^A108,IF(A108='Données projet'!$A$36,'Données projet'!$B$36,N107+M108-V107)))</f>
        <v>279.99999999999989</v>
      </c>
      <c r="O108" s="13">
        <f>N108*VLOOKUP('Données projet'!$B$9,Paramètres!$A$1:$I$89,3,0)*VLOOKUP('Données projet'!$B$9,Paramètres!$A$1:$I$89,5,0)</f>
        <v>253.34399999999988</v>
      </c>
      <c r="P108" s="13">
        <f t="shared" si="87"/>
        <v>61.301453431926255</v>
      </c>
      <c r="Q108" s="20">
        <f t="shared" si="107"/>
        <v>548.00749806060469</v>
      </c>
      <c r="R108" s="59">
        <f t="shared" si="55"/>
        <v>826.74612614147645</v>
      </c>
      <c r="S108" s="59">
        <f ca="1">AVERAGE(OFFSET($R$3,0,0,'Données projet'!$E$9+1,1))-AVERAGE(OFFSET($H$3,0,0,'Données projet'!$E$9+1,1))</f>
        <v>474.39725570496114</v>
      </c>
      <c r="T108" s="59">
        <f t="shared" si="88"/>
        <v>196.13536593828755</v>
      </c>
      <c r="U108" s="15">
        <f>IF(ISNA(VLOOKUP(A108,'Données projet'!$A$35:$I$55,3,0)),0,VLOOKUP(A108,'Données projet'!$A$35:$I$55,3,0))</f>
        <v>8</v>
      </c>
      <c r="V108" s="15">
        <f>IF(ISNA(VLOOKUP(A108,'Données projet'!$A$35:$I$55,4,0)),0,VLOOKUP(A108,'Données projet'!$A$35:$I$55,4,0))</f>
        <v>43</v>
      </c>
      <c r="W108" s="16">
        <f>IF(ISNA(VLOOKUP(A108,'Données projet'!$A$35:$I$55,5,0)),0%,VLOOKUP(A108,'Données projet'!$A$35:$I$55,5,0)*VLOOKUP('Données projet'!$B$9,Paramètres!$A$1:$I$89,7,0))</f>
        <v>0.215</v>
      </c>
      <c r="X108" s="16">
        <f>IF(ISNA(VLOOKUP(A108,'Données projet'!$A$35:$I$55,6,0)),0%,VLOOKUP(A108,'Données projet'!$A$35:$I$55,6,0)*VLOOKUP('Données projet'!$B$9,Paramètres!$A$1:$I$89,7,0))</f>
        <v>0.17200000000000001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33.332692994614469</v>
      </c>
      <c r="AA108" s="21">
        <f>EXP(-LN(2)/25)*AA107+(1-EXP(-LN(2)/25))/(LN(2)/25)*Calculateur!V108*Calculateur!X108*VLOOKUP('Données projet'!$B$9,Paramètres!$A$1:$I$89,3,0)*0.475*44/12</f>
        <v>23.041662151180432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56.374355145794901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1.7053025658242404E-13</v>
      </c>
      <c r="AJ108" s="13">
        <f>AI108*VLOOKUP('Données projet'!$B$10,Paramètres!$A$1:$I$89,3,0)*VLOOKUP('Données projet'!$B$10,Paramètres!$A$1:$I$89,5,0)</f>
        <v>1.3301360013429075E-13</v>
      </c>
      <c r="AK108" s="13">
        <f t="shared" si="89"/>
        <v>1.9329766731057041E-12</v>
      </c>
      <c r="AL108" s="20">
        <f t="shared" si="58"/>
        <v>3.5982663925596575E-12</v>
      </c>
      <c r="AM108" s="59">
        <f t="shared" si="59"/>
        <v>278.73862808087534</v>
      </c>
      <c r="AN108" s="59">
        <f ca="1">AVERAGE(OFFSET($AM$3,0,0,'Données projet'!$E$10+1,1))-AVERAGE(OFFSET($H$3,0,0,'Données projet'!$E$10+1,1))</f>
        <v>381.55743422692029</v>
      </c>
      <c r="AO108" s="59">
        <f t="shared" si="90"/>
        <v>360.34132229290537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99.403749040919152</v>
      </c>
      <c r="AV108" s="21">
        <f>EXP(-LN(2)/25)*AV107+(1-EXP(-LN(2)/25))/(LN(2)/25)*Calculateur!AQ108*Calculateur!AS108*VLOOKUP('Données projet'!$B$10,Paramètres!$A$1:$I$89,3,0)*0.475*44/12</f>
        <v>12.480395556729718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111.88414459764887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-70</v>
      </c>
      <c r="BE108" s="13">
        <f>BD108*VLOOKUP('Données projet'!$B$11,Paramètres!$A$1:$I$89,3,0)*VLOOKUP('Données projet'!$B$11,Paramètres!$A$1:$I$89,5,0)</f>
        <v>-56.783999999999999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99.41315989132292</v>
      </c>
      <c r="BJ108" s="59">
        <f t="shared" si="92"/>
        <v>111.63051055870588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20.274291920923837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20.274291920923837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</v>
      </c>
      <c r="N109" s="13">
        <f>IF('Données projet'!$A$36&gt;35,N108+M109-V108,IF(A109&lt;'Données projet'!$A$36,$K$205^A109,IF(A109='Données projet'!$A$36,'Données projet'!$B$36,N108+M109-V108)))</f>
        <v>243.7999999999999</v>
      </c>
      <c r="O109" s="13">
        <f>N109*VLOOKUP('Données projet'!$B$9,Paramètres!$A$1:$I$89,3,0)*VLOOKUP('Données projet'!$B$9,Paramètres!$A$1:$I$89,5,0)</f>
        <v>220.59023999999991</v>
      </c>
      <c r="P109" s="13">
        <f t="shared" si="87"/>
        <v>54.243151457087848</v>
      </c>
      <c r="Q109" s="20">
        <f t="shared" si="107"/>
        <v>478.66815678776123</v>
      </c>
      <c r="R109" s="59">
        <f t="shared" si="55"/>
        <v>757.65997037589034</v>
      </c>
      <c r="S109" s="59">
        <f ca="1">AVERAGE(OFFSET($R$3,0,0,'Données projet'!$E$9+1,1))-AVERAGE(OFFSET($H$3,0,0,'Données projet'!$E$9+1,1))</f>
        <v>474.39725570496114</v>
      </c>
      <c r="T109" s="59">
        <f t="shared" si="88"/>
        <v>196.13536593828755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32.679059215925292</v>
      </c>
      <c r="AA109" s="21">
        <f>EXP(-LN(2)/25)*AA108+(1-EXP(-LN(2)/25))/(LN(2)/25)*Calculateur!V109*Calculateur!X109*VLOOKUP('Données projet'!$B$9,Paramètres!$A$1:$I$89,3,0)*0.475*44/12</f>
        <v>22.411586687948052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55.090645903873344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1.7053025658242404E-13</v>
      </c>
      <c r="AJ109" s="13">
        <f>AI109*VLOOKUP('Données projet'!$B$10,Paramètres!$A$1:$I$89,3,0)*VLOOKUP('Données projet'!$B$10,Paramètres!$A$1:$I$89,5,0)</f>
        <v>1.3301360013429075E-13</v>
      </c>
      <c r="AK109" s="13">
        <f t="shared" si="89"/>
        <v>1.9329766731057041E-12</v>
      </c>
      <c r="AL109" s="20">
        <f t="shared" si="58"/>
        <v>3.5982663925596575E-12</v>
      </c>
      <c r="AM109" s="59">
        <f t="shared" si="59"/>
        <v>278.99181358813269</v>
      </c>
      <c r="AN109" s="59">
        <f ca="1">AVERAGE(OFFSET($AM$3,0,0,'Données projet'!$E$10+1,1))-AVERAGE(OFFSET($H$3,0,0,'Données projet'!$E$10+1,1))</f>
        <v>381.55743422692029</v>
      </c>
      <c r="AO109" s="59">
        <f t="shared" si="90"/>
        <v>360.34132229290537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97.454502152526899</v>
      </c>
      <c r="AV109" s="21">
        <f>EXP(-LN(2)/25)*AV108+(1-EXP(-LN(2)/25))/(LN(2)/25)*Calculateur!AQ109*Calculateur!AS109*VLOOKUP('Données projet'!$B$10,Paramètres!$A$1:$I$89,3,0)*0.475*44/12</f>
        <v>12.139118483915466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109.59362063644237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-70</v>
      </c>
      <c r="BE109" s="13">
        <f>BD109*VLOOKUP('Données projet'!$B$11,Paramètres!$A$1:$I$89,3,0)*VLOOKUP('Données projet'!$B$11,Paramètres!$A$1:$I$89,5,0)</f>
        <v>-56.783999999999999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99.41315989132292</v>
      </c>
      <c r="BJ109" s="59">
        <f t="shared" si="92"/>
        <v>111.63051055870588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19.876725422451543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19.876725422451543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</v>
      </c>
      <c r="N110" s="13">
        <f>IF('Données projet'!$A$36&gt;35,N109+M110-V109,IF(A110&lt;'Données projet'!$A$36,$K$205^A110,IF(A110='Données projet'!$A$36,'Données projet'!$B$36,N109+M110-V109)))</f>
        <v>250.59999999999991</v>
      </c>
      <c r="O110" s="13">
        <f>N110*VLOOKUP('Données projet'!$B$9,Paramètres!$A$1:$I$89,3,0)*VLOOKUP('Données projet'!$B$9,Paramètres!$A$1:$I$89,5,0)</f>
        <v>226.7428799999999</v>
      </c>
      <c r="P110" s="13">
        <f t="shared" si="87"/>
        <v>55.577832502933106</v>
      </c>
      <c r="Q110" s="20">
        <f t="shared" si="107"/>
        <v>491.70857427594166</v>
      </c>
      <c r="R110" s="59">
        <f t="shared" si="55"/>
        <v>770.94918116881536</v>
      </c>
      <c r="S110" s="59">
        <f ca="1">AVERAGE(OFFSET($R$3,0,0,'Données projet'!$E$9+1,1))-AVERAGE(OFFSET($H$3,0,0,'Données projet'!$E$9+1,1))</f>
        <v>474.39725570496114</v>
      </c>
      <c r="T110" s="59">
        <f t="shared" si="88"/>
        <v>196.13536593828755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32.038242796958976</v>
      </c>
      <c r="AA110" s="21">
        <f>EXP(-LN(2)/25)*AA109+(1-EXP(-LN(2)/25))/(LN(2)/25)*Calculateur!V110*Calculateur!X110*VLOOKUP('Données projet'!$B$9,Paramètres!$A$1:$I$89,3,0)*0.475*44/12</f>
        <v>21.79874067139199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53.836983468350965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1.7053025658242404E-13</v>
      </c>
      <c r="AJ110" s="13">
        <f>AI110*VLOOKUP('Données projet'!$B$10,Paramètres!$A$1:$I$89,3,0)*VLOOKUP('Données projet'!$B$10,Paramètres!$A$1:$I$89,5,0)</f>
        <v>1.3301360013429075E-13</v>
      </c>
      <c r="AK110" s="13">
        <f t="shared" si="89"/>
        <v>1.9329766731057041E-12</v>
      </c>
      <c r="AL110" s="20">
        <f t="shared" si="58"/>
        <v>3.5982663925596575E-12</v>
      </c>
      <c r="AM110" s="59">
        <f t="shared" si="59"/>
        <v>279.24060689287722</v>
      </c>
      <c r="AN110" s="59">
        <f ca="1">AVERAGE(OFFSET($AM$3,0,0,'Données projet'!$E$10+1,1))-AVERAGE(OFFSET($H$3,0,0,'Données projet'!$E$10+1,1))</f>
        <v>381.55743422692029</v>
      </c>
      <c r="AO110" s="59">
        <f t="shared" si="90"/>
        <v>360.34132229290537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95.543478806692818</v>
      </c>
      <c r="AV110" s="21">
        <f>EXP(-LN(2)/25)*AV109+(1-EXP(-LN(2)/25))/(LN(2)/25)*Calculateur!AQ110*Calculateur!AS110*VLOOKUP('Données projet'!$B$10,Paramètres!$A$1:$I$89,3,0)*0.475*44/12</f>
        <v>11.8071736506043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107.35065245729712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-70</v>
      </c>
      <c r="BE110" s="13">
        <f>BD110*VLOOKUP('Données projet'!$B$11,Paramètres!$A$1:$I$89,3,0)*VLOOKUP('Données projet'!$B$11,Paramètres!$A$1:$I$89,5,0)</f>
        <v>-56.783999999999999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99.41315989132292</v>
      </c>
      <c r="BJ110" s="59">
        <f t="shared" si="92"/>
        <v>111.63051055870588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19.48695496052267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19.48695496052267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</v>
      </c>
      <c r="N111" s="13">
        <f>IF('Données projet'!$A$36&gt;35,N110+M111-V110,IF(A111&lt;'Données projet'!$A$36,$K$205^A111,IF(A111='Données projet'!$A$36,'Données projet'!$B$36,N110+M111-V110)))</f>
        <v>257.39999999999992</v>
      </c>
      <c r="O111" s="13">
        <f>N111*VLOOKUP('Données projet'!$B$9,Paramètres!$A$1:$I$89,3,0)*VLOOKUP('Données projet'!$B$9,Paramètres!$A$1:$I$89,5,0)</f>
        <v>232.89551999999992</v>
      </c>
      <c r="P111" s="13">
        <f t="shared" si="87"/>
        <v>56.908304063818662</v>
      </c>
      <c r="Q111" s="20">
        <f t="shared" si="107"/>
        <v>504.74166024448397</v>
      </c>
      <c r="R111" s="59">
        <f t="shared" si="55"/>
        <v>784.22674443448329</v>
      </c>
      <c r="S111" s="59">
        <f ca="1">AVERAGE(OFFSET($R$3,0,0,'Données projet'!$E$9+1,1))-AVERAGE(OFFSET($H$3,0,0,'Données projet'!$E$9+1,1))</f>
        <v>474.39725570496114</v>
      </c>
      <c r="T111" s="59">
        <f t="shared" si="88"/>
        <v>196.13536593828755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31.409992397109164</v>
      </c>
      <c r="AA111" s="21">
        <f>EXP(-LN(2)/25)*AA110+(1-EXP(-LN(2)/25))/(LN(2)/25)*Calculateur!V111*Calculateur!X111*VLOOKUP('Données projet'!$B$9,Paramètres!$A$1:$I$89,3,0)*0.475*44/12</f>
        <v>21.202652961386825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52.612645358495989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1.7053025658242404E-13</v>
      </c>
      <c r="AJ111" s="13">
        <f>AI111*VLOOKUP('Données projet'!$B$10,Paramètres!$A$1:$I$89,3,0)*VLOOKUP('Données projet'!$B$10,Paramètres!$A$1:$I$89,5,0)</f>
        <v>1.3301360013429075E-13</v>
      </c>
      <c r="AK111" s="13">
        <f t="shared" si="89"/>
        <v>1.9329766731057041E-12</v>
      </c>
      <c r="AL111" s="20">
        <f t="shared" si="58"/>
        <v>3.5982663925596575E-12</v>
      </c>
      <c r="AM111" s="59">
        <f t="shared" si="59"/>
        <v>279.48508419000291</v>
      </c>
      <c r="AN111" s="59">
        <f ca="1">AVERAGE(OFFSET($AM$3,0,0,'Données projet'!$E$10+1,1))-AVERAGE(OFFSET($H$3,0,0,'Données projet'!$E$10+1,1))</f>
        <v>381.55743422692029</v>
      </c>
      <c r="AO111" s="59">
        <f t="shared" si="90"/>
        <v>360.34132229290537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93.669929463061393</v>
      </c>
      <c r="AV111" s="21">
        <f>EXP(-LN(2)/25)*AV110+(1-EXP(-LN(2)/25))/(LN(2)/25)*Calculateur!AQ111*Calculateur!AS111*VLOOKUP('Données projet'!$B$10,Paramètres!$A$1:$I$89,3,0)*0.475*44/12</f>
        <v>11.484305866216248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105.15423532927764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-70</v>
      </c>
      <c r="BE111" s="13">
        <f>BD111*VLOOKUP('Données projet'!$B$11,Paramètres!$A$1:$I$89,3,0)*VLOOKUP('Données projet'!$B$11,Paramètres!$A$1:$I$89,5,0)</f>
        <v>-56.783999999999999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99.41315989132292</v>
      </c>
      <c r="BJ111" s="59">
        <f t="shared" si="92"/>
        <v>111.63051055870588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19.104827659615715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19.104827659615715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</v>
      </c>
      <c r="N112" s="13">
        <f>IF('Données projet'!$A$36&gt;35,N111+M112-V111,IF(A112&lt;'Données projet'!$A$36,$K$205^A112,IF(A112='Données projet'!$A$36,'Données projet'!$B$36,N111+M112-V111)))</f>
        <v>264.19999999999993</v>
      </c>
      <c r="O112" s="13">
        <f>N112*VLOOKUP('Données projet'!$B$9,Paramètres!$A$1:$I$89,3,0)*VLOOKUP('Données projet'!$B$9,Paramètres!$A$1:$I$89,5,0)</f>
        <v>239.04815999999994</v>
      </c>
      <c r="P112" s="13">
        <f t="shared" si="87"/>
        <v>58.234690128947292</v>
      </c>
      <c r="Q112" s="20">
        <f t="shared" si="107"/>
        <v>517.76763064124975</v>
      </c>
      <c r="R112" s="59">
        <f t="shared" si="55"/>
        <v>797.49295099383903</v>
      </c>
      <c r="S112" s="59">
        <f ca="1">AVERAGE(OFFSET($R$3,0,0,'Données projet'!$E$9+1,1))-AVERAGE(OFFSET($H$3,0,0,'Données projet'!$E$9+1,1))</f>
        <v>474.39725570496114</v>
      </c>
      <c r="T112" s="59">
        <f t="shared" si="88"/>
        <v>196.13536593828755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30.794061604405499</v>
      </c>
      <c r="AA112" s="21">
        <f>EXP(-LN(2)/25)*AA111+(1-EXP(-LN(2)/25))/(LN(2)/25)*Calculateur!V112*Calculateur!X112*VLOOKUP('Données projet'!$B$9,Paramètres!$A$1:$I$89,3,0)*0.475*44/12</f>
        <v>20.622865301158644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51.416926905564139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1.7053025658242404E-13</v>
      </c>
      <c r="AJ112" s="13">
        <f>AI112*VLOOKUP('Données projet'!$B$10,Paramètres!$A$1:$I$89,3,0)*VLOOKUP('Données projet'!$B$10,Paramètres!$A$1:$I$89,5,0)</f>
        <v>1.3301360013429075E-13</v>
      </c>
      <c r="AK112" s="13">
        <f t="shared" si="89"/>
        <v>1.9329766731057041E-12</v>
      </c>
      <c r="AL112" s="20">
        <f t="shared" si="58"/>
        <v>3.5982663925596575E-12</v>
      </c>
      <c r="AM112" s="59">
        <f t="shared" si="59"/>
        <v>279.72532035259286</v>
      </c>
      <c r="AN112" s="59">
        <f ca="1">AVERAGE(OFFSET($AM$3,0,0,'Données projet'!$E$10+1,1))-AVERAGE(OFFSET($H$3,0,0,'Données projet'!$E$10+1,1))</f>
        <v>381.55743422692029</v>
      </c>
      <c r="AO112" s="59">
        <f t="shared" si="90"/>
        <v>360.34132229290537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91.833119279306317</v>
      </c>
      <c r="AV112" s="21">
        <f>EXP(-LN(2)/25)*AV111+(1-EXP(-LN(2)/25))/(LN(2)/25)*Calculateur!AQ112*Calculateur!AS112*VLOOKUP('Données projet'!$B$10,Paramètres!$A$1:$I$89,3,0)*0.475*44/12</f>
        <v>11.170266918371167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103.00338619767749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-70</v>
      </c>
      <c r="BE112" s="13">
        <f>BD112*VLOOKUP('Données projet'!$B$11,Paramètres!$A$1:$I$89,3,0)*VLOOKUP('Données projet'!$B$11,Paramètres!$A$1:$I$89,5,0)</f>
        <v>-56.783999999999999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99.41315989132292</v>
      </c>
      <c r="BJ112" s="59">
        <f t="shared" si="92"/>
        <v>111.63051055870588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18.730193642004906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18.730193642004906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</v>
      </c>
      <c r="N113" s="13">
        <f>IF('Données projet'!$A$36&gt;35,N112+M113-V112,IF(A113&lt;'Données projet'!$A$36,$K$205^A113,IF(A113='Données projet'!$A$36,'Données projet'!$B$36,N112+M113-V112)))</f>
        <v>270.99999999999994</v>
      </c>
      <c r="O113" s="13">
        <f>N113*VLOOKUP('Données projet'!$B$9,Paramètres!$A$1:$I$89,3,0)*VLOOKUP('Données projet'!$B$9,Paramètres!$A$1:$I$89,5,0)</f>
        <v>245.20079999999993</v>
      </c>
      <c r="P113" s="13">
        <f t="shared" si="87"/>
        <v>59.557107941433735</v>
      </c>
      <c r="Q113" s="20">
        <f t="shared" si="107"/>
        <v>530.78668966466364</v>
      </c>
      <c r="R113" s="59">
        <f t="shared" si="55"/>
        <v>810.74807861950944</v>
      </c>
      <c r="S113" s="59">
        <f ca="1">AVERAGE(OFFSET($R$3,0,0,'Données projet'!$E$9+1,1))-AVERAGE(OFFSET($H$3,0,0,'Données projet'!$E$9+1,1))</f>
        <v>474.39725570496114</v>
      </c>
      <c r="T113" s="59">
        <f t="shared" si="88"/>
        <v>196.13536593828755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30.190208838866067</v>
      </c>
      <c r="AA113" s="21">
        <f>EXP(-LN(2)/25)*AA112+(1-EXP(-LN(2)/25))/(LN(2)/25)*Calculateur!V113*Calculateur!X113*VLOOKUP('Données projet'!$B$9,Paramètres!$A$1:$I$89,3,0)*0.475*44/12</f>
        <v>20.05893196498911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50.249140803855177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1.7053025658242404E-13</v>
      </c>
      <c r="AJ113" s="13">
        <f>AI113*VLOOKUP('Données projet'!$B$10,Paramètres!$A$1:$I$89,3,0)*VLOOKUP('Données projet'!$B$10,Paramètres!$A$1:$I$89,5,0)</f>
        <v>1.3301360013429075E-13</v>
      </c>
      <c r="AK113" s="13">
        <f t="shared" si="89"/>
        <v>1.9329766731057041E-12</v>
      </c>
      <c r="AL113" s="20">
        <f t="shared" si="58"/>
        <v>3.5982663925596575E-12</v>
      </c>
      <c r="AM113" s="59">
        <f t="shared" si="59"/>
        <v>279.96138895484944</v>
      </c>
      <c r="AN113" s="59">
        <f ca="1">AVERAGE(OFFSET($AM$3,0,0,'Données projet'!$E$10+1,1))-AVERAGE(OFFSET($H$3,0,0,'Données projet'!$E$10+1,1))</f>
        <v>381.55743422692029</v>
      </c>
      <c r="AO113" s="59">
        <f t="shared" si="90"/>
        <v>360.34132229290537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90.032327822911085</v>
      </c>
      <c r="AV113" s="21">
        <f>EXP(-LN(2)/25)*AV112+(1-EXP(-LN(2)/25))/(LN(2)/25)*Calculateur!AQ113*Calculateur!AS113*VLOOKUP('Données projet'!$B$10,Paramètres!$A$1:$I$89,3,0)*0.475*44/12</f>
        <v>10.8648153820695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100.89714320498058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-70</v>
      </c>
      <c r="BE113" s="13">
        <f>BD113*VLOOKUP('Données projet'!$B$11,Paramètres!$A$1:$I$89,3,0)*VLOOKUP('Données projet'!$B$11,Paramètres!$A$1:$I$89,5,0)</f>
        <v>-56.783999999999999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99.41315989132292</v>
      </c>
      <c r="BJ113" s="59">
        <f t="shared" si="92"/>
        <v>111.63051055870588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18.362905968975255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18.362905968975255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</v>
      </c>
      <c r="N114" s="13">
        <f>IF('Données projet'!$A$36&gt;35,N113+M114-V113,IF(A114&lt;'Données projet'!$A$36,$K$205^A114,IF(A114='Données projet'!$A$36,'Données projet'!$B$36,N113+M114-V113)))</f>
        <v>277.79999999999995</v>
      </c>
      <c r="O114" s="13">
        <f>N114*VLOOKUP('Données projet'!$B$9,Paramètres!$A$1:$I$89,3,0)*VLOOKUP('Données projet'!$B$9,Paramètres!$A$1:$I$89,5,0)</f>
        <v>251.35343999999995</v>
      </c>
      <c r="P114" s="13">
        <f t="shared" si="87"/>
        <v>60.875668525285015</v>
      </c>
      <c r="Q114" s="20">
        <f t="shared" si="107"/>
        <v>543.79903068153794</v>
      </c>
      <c r="R114" s="59">
        <f t="shared" si="55"/>
        <v>823.99239297616145</v>
      </c>
      <c r="S114" s="59">
        <f ca="1">AVERAGE(OFFSET($R$3,0,0,'Données projet'!$E$9+1,1))-AVERAGE(OFFSET($H$3,0,0,'Données projet'!$E$9+1,1))</f>
        <v>474.39725570496114</v>
      </c>
      <c r="T114" s="59">
        <f t="shared" si="88"/>
        <v>196.13536593828755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29.598197257745042</v>
      </c>
      <c r="AA114" s="21">
        <f>EXP(-LN(2)/25)*AA113+(1-EXP(-LN(2)/25))/(LN(2)/25)*Calculateur!V114*Calculateur!X114*VLOOKUP('Données projet'!$B$9,Paramètres!$A$1:$I$89,3,0)*0.475*44/12</f>
        <v>19.510419415553095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49.108616673298137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1.7053025658242404E-13</v>
      </c>
      <c r="AJ114" s="13">
        <f>AI114*VLOOKUP('Données projet'!$B$10,Paramètres!$A$1:$I$89,3,0)*VLOOKUP('Données projet'!$B$10,Paramètres!$A$1:$I$89,5,0)</f>
        <v>1.3301360013429075E-13</v>
      </c>
      <c r="AK114" s="13">
        <f t="shared" si="89"/>
        <v>1.9329766731057041E-12</v>
      </c>
      <c r="AL114" s="20">
        <f t="shared" si="58"/>
        <v>3.5982663925596575E-12</v>
      </c>
      <c r="AM114" s="59">
        <f t="shared" si="59"/>
        <v>280.19336229462715</v>
      </c>
      <c r="AN114" s="59">
        <f ca="1">AVERAGE(OFFSET($AM$3,0,0,'Données projet'!$E$10+1,1))-AVERAGE(OFFSET($H$3,0,0,'Données projet'!$E$10+1,1))</f>
        <v>381.55743422692029</v>
      </c>
      <c r="AO114" s="59">
        <f t="shared" si="90"/>
        <v>360.34132229290537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88.266848788601436</v>
      </c>
      <c r="AV114" s="21">
        <f>EXP(-LN(2)/25)*AV113+(1-EXP(-LN(2)/25))/(LN(2)/25)*Calculateur!AQ114*Calculateur!AS114*VLOOKUP('Données projet'!$B$10,Paramètres!$A$1:$I$89,3,0)*0.475*44/12</f>
        <v>10.567716434091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98.834565222692433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-70</v>
      </c>
      <c r="BE114" s="13">
        <f>BD114*VLOOKUP('Données projet'!$B$11,Paramètres!$A$1:$I$89,3,0)*VLOOKUP('Données projet'!$B$11,Paramètres!$A$1:$I$89,5,0)</f>
        <v>-56.783999999999999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99.41315989132292</v>
      </c>
      <c r="BJ114" s="59">
        <f t="shared" si="92"/>
        <v>111.63051055870588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18.002820583190356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18.002820583190356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</v>
      </c>
      <c r="N115" s="13">
        <f>IF('Données projet'!$A$36&gt;35,N114+M115-V114,IF(A115&lt;'Données projet'!$A$36,$K$205^A115,IF(A115='Données projet'!$A$36,'Données projet'!$B$36,N114+M115-V114)))</f>
        <v>284.59999999999997</v>
      </c>
      <c r="O115" s="13">
        <f>N115*VLOOKUP('Données projet'!$B$9,Paramètres!$A$1:$I$89,3,0)*VLOOKUP('Données projet'!$B$9,Paramètres!$A$1:$I$89,5,0)</f>
        <v>257.50607999999994</v>
      </c>
      <c r="P115" s="13">
        <f t="shared" si="87"/>
        <v>62.190477159330463</v>
      </c>
      <c r="Q115" s="20">
        <f t="shared" si="107"/>
        <v>556.80483705250037</v>
      </c>
      <c r="R115" s="59">
        <f t="shared" si="55"/>
        <v>837.22614846807119</v>
      </c>
      <c r="S115" s="59">
        <f ca="1">AVERAGE(OFFSET($R$3,0,0,'Données projet'!$E$9+1,1))-AVERAGE(OFFSET($H$3,0,0,'Données projet'!$E$9+1,1))</f>
        <v>474.39725570496114</v>
      </c>
      <c r="T115" s="59">
        <f t="shared" si="88"/>
        <v>196.13536593828755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29.017794662638391</v>
      </c>
      <c r="AA115" s="21">
        <f>EXP(-LN(2)/25)*AA114+(1-EXP(-LN(2)/25))/(LN(2)/25)*Calculateur!V115*Calculateur!X115*VLOOKUP('Données projet'!$B$9,Paramètres!$A$1:$I$89,3,0)*0.475*44/12</f>
        <v>18.976905970626429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47.99470063326482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1.7053025658242404E-13</v>
      </c>
      <c r="AJ115" s="13">
        <f>AI115*VLOOKUP('Données projet'!$B$10,Paramètres!$A$1:$I$89,3,0)*VLOOKUP('Données projet'!$B$10,Paramètres!$A$1:$I$89,5,0)</f>
        <v>1.3301360013429075E-13</v>
      </c>
      <c r="AK115" s="13">
        <f t="shared" si="89"/>
        <v>1.9329766731057041E-12</v>
      </c>
      <c r="AL115" s="20">
        <f t="shared" si="58"/>
        <v>3.5982663925596575E-12</v>
      </c>
      <c r="AM115" s="59">
        <f t="shared" si="59"/>
        <v>280.42131141557445</v>
      </c>
      <c r="AN115" s="59">
        <f ca="1">AVERAGE(OFFSET($AM$3,0,0,'Données projet'!$E$10+1,1))-AVERAGE(OFFSET($H$3,0,0,'Données projet'!$E$10+1,1))</f>
        <v>381.55743422692029</v>
      </c>
      <c r="AO115" s="59">
        <f t="shared" si="90"/>
        <v>360.34132229290537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86.535989721318714</v>
      </c>
      <c r="AV115" s="21">
        <f>EXP(-LN(2)/25)*AV114+(1-EXP(-LN(2)/25))/(LN(2)/25)*Calculateur!AQ115*Calculateur!AS115*VLOOKUP('Données projet'!$B$10,Paramètres!$A$1:$I$89,3,0)*0.475*44/12</f>
        <v>10.278741672468728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96.81473139378744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-70</v>
      </c>
      <c r="BE115" s="13">
        <f>BD115*VLOOKUP('Données projet'!$B$11,Paramètres!$A$1:$I$89,3,0)*VLOOKUP('Données projet'!$B$11,Paramètres!$A$1:$I$89,5,0)</f>
        <v>-56.783999999999999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99.41315989132292</v>
      </c>
      <c r="BJ115" s="59">
        <f t="shared" si="92"/>
        <v>111.63051055870588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17.649796252190303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17.649796252190303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</v>
      </c>
      <c r="N116" s="13">
        <f>IF('Données projet'!$A$36&gt;35,N115+M116-V115,IF(A116&lt;'Données projet'!$A$36,$K$205^A116,IF(A116='Données projet'!$A$36,'Données projet'!$B$36,N115+M116-V115)))</f>
        <v>291.39999999999998</v>
      </c>
      <c r="O116" s="13">
        <f>N116*VLOOKUP('Données projet'!$B$9,Paramètres!$A$1:$I$89,3,0)*VLOOKUP('Données projet'!$B$9,Paramètres!$A$1:$I$89,5,0)</f>
        <v>263.65871999999996</v>
      </c>
      <c r="P116" s="13">
        <f t="shared" si="87"/>
        <v>63.501633804581523</v>
      </c>
      <c r="Q116" s="20">
        <f t="shared" si="107"/>
        <v>569.80428287631264</v>
      </c>
      <c r="R116" s="59">
        <f t="shared" si="55"/>
        <v>850.44958900520032</v>
      </c>
      <c r="S116" s="59">
        <f ca="1">AVERAGE(OFFSET($R$3,0,0,'Données projet'!$E$9+1,1))-AVERAGE(OFFSET($H$3,0,0,'Données projet'!$E$9+1,1))</f>
        <v>474.39725570496114</v>
      </c>
      <c r="T116" s="59">
        <f t="shared" si="88"/>
        <v>196.13536593828755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28.448773408411153</v>
      </c>
      <c r="AA116" s="21">
        <f>EXP(-LN(2)/25)*AA115+(1-EXP(-LN(2)/25))/(LN(2)/25)*Calculateur!V116*Calculateur!X116*VLOOKUP('Données projet'!$B$9,Paramètres!$A$1:$I$89,3,0)*0.475*44/12</f>
        <v>18.457981478907538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46.906754887318691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1.7053025658242404E-13</v>
      </c>
      <c r="AJ116" s="13">
        <f>AI116*VLOOKUP('Données projet'!$B$10,Paramètres!$A$1:$I$89,3,0)*VLOOKUP('Données projet'!$B$10,Paramètres!$A$1:$I$89,5,0)</f>
        <v>1.3301360013429075E-13</v>
      </c>
      <c r="AK116" s="13">
        <f t="shared" si="89"/>
        <v>1.9329766731057041E-12</v>
      </c>
      <c r="AL116" s="20">
        <f t="shared" si="58"/>
        <v>3.5982663925596575E-12</v>
      </c>
      <c r="AM116" s="59">
        <f t="shared" si="59"/>
        <v>280.64530612889121</v>
      </c>
      <c r="AN116" s="59">
        <f ca="1">AVERAGE(OFFSET($AM$3,0,0,'Données projet'!$E$10+1,1))-AVERAGE(OFFSET($H$3,0,0,'Données projet'!$E$10+1,1))</f>
        <v>381.55743422692029</v>
      </c>
      <c r="AO116" s="59">
        <f t="shared" si="90"/>
        <v>360.34132229290537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84.839071744625613</v>
      </c>
      <c r="AV116" s="21">
        <f>EXP(-LN(2)/25)*AV115+(1-EXP(-LN(2)/25))/(LN(2)/25)*Calculateur!AQ116*Calculateur!AS116*VLOOKUP('Données projet'!$B$10,Paramètres!$A$1:$I$89,3,0)*0.475*44/12</f>
        <v>9.9976689408995387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94.836740685525157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-70</v>
      </c>
      <c r="BE116" s="13">
        <f>BD116*VLOOKUP('Données projet'!$B$11,Paramètres!$A$1:$I$89,3,0)*VLOOKUP('Données projet'!$B$11,Paramètres!$A$1:$I$89,5,0)</f>
        <v>-56.783999999999999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99.41315989132292</v>
      </c>
      <c r="BJ116" s="59">
        <f t="shared" si="92"/>
        <v>111.63051055870588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17.303694512997577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17.303694512997577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</v>
      </c>
      <c r="N117" s="13">
        <f>IF('Données projet'!$A$36&gt;35,N116+M117-V116,IF(A117&lt;'Données projet'!$A$36,$K$205^A117,IF(A117='Données projet'!$A$36,'Données projet'!$B$36,N116+M117-V116)))</f>
        <v>298.2</v>
      </c>
      <c r="O117" s="13">
        <f>N117*VLOOKUP('Données projet'!$B$9,Paramètres!$A$1:$I$89,3,0)*VLOOKUP('Données projet'!$B$9,Paramètres!$A$1:$I$89,5,0)</f>
        <v>269.81135999999998</v>
      </c>
      <c r="P117" s="13">
        <f t="shared" si="87"/>
        <v>64.809233490575778</v>
      </c>
      <c r="Q117" s="20">
        <f t="shared" si="107"/>
        <v>582.7975336627527</v>
      </c>
      <c r="R117" s="59">
        <f t="shared" si="55"/>
        <v>863.66294869745821</v>
      </c>
      <c r="S117" s="59">
        <f ca="1">AVERAGE(OFFSET($R$3,0,0,'Données projet'!$E$9+1,1))-AVERAGE(OFFSET($H$3,0,0,'Données projet'!$E$9+1,1))</f>
        <v>474.39725570496114</v>
      </c>
      <c r="T117" s="59">
        <f t="shared" si="88"/>
        <v>196.13536593828755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27.890910313910616</v>
      </c>
      <c r="AA117" s="21">
        <f>EXP(-LN(2)/25)*AA116+(1-EXP(-LN(2)/25))/(LN(2)/25)*Calculateur!V117*Calculateur!X117*VLOOKUP('Données projet'!$B$9,Paramètres!$A$1:$I$89,3,0)*0.475*44/12</f>
        <v>17.953247004703751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45.844157318614364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1.7053025658242404E-13</v>
      </c>
      <c r="AJ117" s="13">
        <f>AI117*VLOOKUP('Données projet'!$B$10,Paramètres!$A$1:$I$89,3,0)*VLOOKUP('Données projet'!$B$10,Paramètres!$A$1:$I$89,5,0)</f>
        <v>1.3301360013429075E-13</v>
      </c>
      <c r="AK117" s="13">
        <f t="shared" si="89"/>
        <v>1.9329766731057041E-12</v>
      </c>
      <c r="AL117" s="20">
        <f t="shared" si="58"/>
        <v>3.5982663925596575E-12</v>
      </c>
      <c r="AM117" s="59">
        <f t="shared" si="59"/>
        <v>280.86541503470903</v>
      </c>
      <c r="AN117" s="59">
        <f ca="1">AVERAGE(OFFSET($AM$3,0,0,'Données projet'!$E$10+1,1))-AVERAGE(OFFSET($H$3,0,0,'Données projet'!$E$10+1,1))</f>
        <v>381.55743422692029</v>
      </c>
      <c r="AO117" s="59">
        <f t="shared" si="90"/>
        <v>360.34132229290537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83.175429294437706</v>
      </c>
      <c r="AV117" s="21">
        <f>EXP(-LN(2)/25)*AV116+(1-EXP(-LN(2)/25))/(LN(2)/25)*Calculateur!AQ117*Calculateur!AS117*VLOOKUP('Données projet'!$B$10,Paramètres!$A$1:$I$89,3,0)*0.475*44/12</f>
        <v>9.7242821579560808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92.899711452393788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-70</v>
      </c>
      <c r="BE117" s="13">
        <f>BD117*VLOOKUP('Données projet'!$B$11,Paramètres!$A$1:$I$89,3,0)*VLOOKUP('Données projet'!$B$11,Paramètres!$A$1:$I$89,5,0)</f>
        <v>-56.783999999999999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99.41315989132292</v>
      </c>
      <c r="BJ117" s="59">
        <f t="shared" si="92"/>
        <v>111.63051055870588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16.964379617809204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16.964379617809204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305</v>
      </c>
      <c r="L118" s="12">
        <f>VLOOKUP(A118,'Données projet'!$A$35:$I$55,9,0)</f>
        <v>6.8</v>
      </c>
      <c r="M118" s="12">
        <f t="array" ref="M118">INDEX(L:L,MIN(IF(ISNUMBER(L118:L314),ROW(L118:L314),"")))</f>
        <v>6.8</v>
      </c>
      <c r="N118" s="13">
        <f>IF('Données projet'!$A$36&gt;35,N117+M118-V117,IF(A118&lt;'Données projet'!$A$36,$K$205^A118,IF(A118='Données projet'!$A$36,'Données projet'!$B$36,N117+M118-V117)))</f>
        <v>305</v>
      </c>
      <c r="O118" s="13">
        <f>N118*VLOOKUP('Données projet'!$B$9,Paramètres!$A$1:$I$89,3,0)*VLOOKUP('Données projet'!$B$9,Paramètres!$A$1:$I$89,5,0)</f>
        <v>275.964</v>
      </c>
      <c r="P118" s="13">
        <f t="shared" si="87"/>
        <v>66.113366665488911</v>
      </c>
      <c r="Q118" s="20">
        <f t="shared" si="107"/>
        <v>595.7847469423931</v>
      </c>
      <c r="R118" s="59">
        <f t="shared" si="55"/>
        <v>876.8664524854903</v>
      </c>
      <c r="S118" s="59">
        <f ca="1">AVERAGE(OFFSET($R$3,0,0,'Données projet'!$E$9+1,1))-AVERAGE(OFFSET($H$3,0,0,'Données projet'!$E$9+1,1))</f>
        <v>474.39725570496114</v>
      </c>
      <c r="T118" s="59">
        <f t="shared" si="88"/>
        <v>196.13536593828755</v>
      </c>
      <c r="U118" s="15">
        <f>IF(ISNA(VLOOKUP(A118,'Données projet'!$A$35:$I$55,3,0)),0,VLOOKUP(A118,'Données projet'!$A$35:$I$55,3,0))</f>
        <v>9</v>
      </c>
      <c r="V118" s="15">
        <f>IF(ISNA(VLOOKUP(A118,'Données projet'!$A$35:$I$55,4,0)),0,VLOOKUP(A118,'Données projet'!$A$35:$I$55,4,0))</f>
        <v>44</v>
      </c>
      <c r="W118" s="16">
        <f>IF(ISNA(VLOOKUP(A118,'Données projet'!$A$35:$I$55,5,0)),0%,VLOOKUP(A118,'Données projet'!$A$35:$I$55,5,0)*VLOOKUP('Données projet'!$B$9,Paramètres!$A$1:$I$89,7,0))</f>
        <v>0.215</v>
      </c>
      <c r="X118" s="16">
        <f>IF(ISNA(VLOOKUP(A118,'Données projet'!$A$35:$I$55,6,0)),0%,VLOOKUP(A118,'Données projet'!$A$35:$I$55,6,0)*VLOOKUP('Données projet'!$B$9,Paramètres!$A$1:$I$89,7,0))</f>
        <v>0.17200000000000001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36.806158584767715</v>
      </c>
      <c r="AA118" s="21">
        <f>EXP(-LN(2)/25)*AA117+(1-EXP(-LN(2)/25))/(LN(2)/25)*Calculateur!V118*Calculateur!X118*VLOOKUP('Données projet'!$B$9,Paramètres!$A$1:$I$89,3,0)*0.475*44/12</f>
        <v>25.002247188249886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61.808405773017597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1.7053025658242404E-13</v>
      </c>
      <c r="AJ118" s="13">
        <f>AI118*VLOOKUP('Données projet'!$B$10,Paramètres!$A$1:$I$89,3,0)*VLOOKUP('Données projet'!$B$10,Paramètres!$A$1:$I$89,5,0)</f>
        <v>1.3301360013429075E-13</v>
      </c>
      <c r="AK118" s="13">
        <f t="shared" si="89"/>
        <v>1.9329766731057041E-12</v>
      </c>
      <c r="AL118" s="20">
        <f t="shared" si="58"/>
        <v>3.5982663925596575E-12</v>
      </c>
      <c r="AM118" s="59">
        <f t="shared" si="59"/>
        <v>281.08170554310084</v>
      </c>
      <c r="AN118" s="59">
        <f ca="1">AVERAGE(OFFSET($AM$3,0,0,'Données projet'!$E$10+1,1))-AVERAGE(OFFSET($H$3,0,0,'Données projet'!$E$10+1,1))</f>
        <v>381.55743422692029</v>
      </c>
      <c r="AO118" s="59">
        <f t="shared" si="90"/>
        <v>360.34132229290537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81.544409857976277</v>
      </c>
      <c r="AV118" s="21">
        <f>EXP(-LN(2)/25)*AV117+(1-EXP(-LN(2)/25))/(LN(2)/25)*Calculateur!AQ118*Calculateur!AS118*VLOOKUP('Données projet'!$B$10,Paramètres!$A$1:$I$89,3,0)*0.475*44/12</f>
        <v>9.4583711509689987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91.002781008945277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-70</v>
      </c>
      <c r="BE118" s="13">
        <f>BD118*VLOOKUP('Données projet'!$B$11,Paramètres!$A$1:$I$89,3,0)*VLOOKUP('Données projet'!$B$11,Paramètres!$A$1:$I$89,5,0)</f>
        <v>-56.783999999999999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99.41315989132292</v>
      </c>
      <c r="BJ118" s="59">
        <f t="shared" si="92"/>
        <v>111.63051055870588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16.631718480753825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16.631718480753825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6.5</v>
      </c>
      <c r="N119" s="13">
        <f>IF('Données projet'!$A$36&gt;35,N118+M119-V118,IF(A119&lt;'Données projet'!$A$36,$K$205^A119,IF(A119='Données projet'!$A$36,'Données projet'!$B$36,N118+M119-V118)))</f>
        <v>267.5</v>
      </c>
      <c r="O119" s="13">
        <f>N119*VLOOKUP('Données projet'!$B$9,Paramètres!$A$1:$I$89,3,0)*VLOOKUP('Données projet'!$B$9,Paramètres!$A$1:$I$89,5,0)</f>
        <v>242.03399999999996</v>
      </c>
      <c r="P119" s="13">
        <f t="shared" si="87"/>
        <v>58.876940312016181</v>
      </c>
      <c r="Q119" s="20">
        <f t="shared" si="107"/>
        <v>524.08655437676134</v>
      </c>
      <c r="R119" s="59">
        <f t="shared" si="55"/>
        <v>805.38079827148283</v>
      </c>
      <c r="S119" s="59">
        <f ca="1">AVERAGE(OFFSET($R$3,0,0,'Données projet'!$E$9+1,1))-AVERAGE(OFFSET($H$3,0,0,'Données projet'!$E$9+1,1))</f>
        <v>474.39725570496114</v>
      </c>
      <c r="T119" s="59">
        <f t="shared" si="88"/>
        <v>196.13536593828755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36.084412264460447</v>
      </c>
      <c r="AA119" s="21">
        <f>EXP(-LN(2)/25)*AA118+(1-EXP(-LN(2)/25))/(LN(2)/25)*Calculateur!V119*Calculateur!X119*VLOOKUP('Données projet'!$B$9,Paramètres!$A$1:$I$89,3,0)*0.475*44/12</f>
        <v>24.318559424076156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60.402971688536603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1.7053025658242404E-13</v>
      </c>
      <c r="AJ119" s="13">
        <f>AI119*VLOOKUP('Données projet'!$B$10,Paramètres!$A$1:$I$89,3,0)*VLOOKUP('Données projet'!$B$10,Paramètres!$A$1:$I$89,5,0)</f>
        <v>1.3301360013429075E-13</v>
      </c>
      <c r="AK119" s="13">
        <f t="shared" si="89"/>
        <v>1.9329766731057041E-12</v>
      </c>
      <c r="AL119" s="20">
        <f t="shared" si="58"/>
        <v>3.5982663925596575E-12</v>
      </c>
      <c r="AM119" s="59">
        <f t="shared" si="59"/>
        <v>281.29424389472507</v>
      </c>
      <c r="AN119" s="59">
        <f ca="1">AVERAGE(OFFSET($AM$3,0,0,'Données projet'!$E$10+1,1))-AVERAGE(OFFSET($H$3,0,0,'Données projet'!$E$10+1,1))</f>
        <v>381.55743422692029</v>
      </c>
      <c r="AO119" s="59">
        <f t="shared" si="90"/>
        <v>360.34132229290537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79.945373717840241</v>
      </c>
      <c r="AV119" s="21">
        <f>EXP(-LN(2)/25)*AV118+(1-EXP(-LN(2)/25))/(LN(2)/25)*Calculateur!AQ119*Calculateur!AS119*VLOOKUP('Données projet'!$B$10,Paramètres!$A$1:$I$89,3,0)*0.475*44/12</f>
        <v>9.1997314944516297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89.145105212291867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-70</v>
      </c>
      <c r="BE119" s="13">
        <f>BD119*VLOOKUP('Données projet'!$B$11,Paramètres!$A$1:$I$89,3,0)*VLOOKUP('Données projet'!$B$11,Paramètres!$A$1:$I$89,5,0)</f>
        <v>-56.783999999999999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99.41315989132292</v>
      </c>
      <c r="BJ119" s="59">
        <f t="shared" si="92"/>
        <v>111.63051055870588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16.305580625692844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16.305580625692844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6.5</v>
      </c>
      <c r="N120" s="13">
        <f>IF('Données projet'!$A$36&gt;35,N119+M120-V119,IF(A120&lt;'Données projet'!$A$36,$K$205^A120,IF(A120='Données projet'!$A$36,'Données projet'!$B$36,N119+M120-V119)))</f>
        <v>274</v>
      </c>
      <c r="O120" s="13">
        <f>N120*VLOOKUP('Données projet'!$B$9,Paramètres!$A$1:$I$89,3,0)*VLOOKUP('Données projet'!$B$9,Paramètres!$A$1:$I$89,5,0)</f>
        <v>247.9152</v>
      </c>
      <c r="P120" s="13">
        <f t="shared" si="87"/>
        <v>60.139294964297406</v>
      </c>
      <c r="Q120" s="20">
        <f t="shared" si="107"/>
        <v>536.52824539615131</v>
      </c>
      <c r="R120" s="59">
        <f t="shared" si="55"/>
        <v>818.03134057726095</v>
      </c>
      <c r="S120" s="59">
        <f ca="1">AVERAGE(OFFSET($R$3,0,0,'Données projet'!$E$9+1,1))-AVERAGE(OFFSET($H$3,0,0,'Données projet'!$E$9+1,1))</f>
        <v>474.39725570496114</v>
      </c>
      <c r="T120" s="59">
        <f t="shared" si="88"/>
        <v>196.13536593828755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35.376818949272618</v>
      </c>
      <c r="AA120" s="21">
        <f>EXP(-LN(2)/25)*AA119+(1-EXP(-LN(2)/25))/(LN(2)/25)*Calculateur!V120*Calculateur!X120*VLOOKUP('Données projet'!$B$9,Paramètres!$A$1:$I$89,3,0)*0.475*44/12</f>
        <v>23.653567137767336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59.030386087039957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1.7053025658242404E-13</v>
      </c>
      <c r="AJ120" s="13">
        <f>AI120*VLOOKUP('Données projet'!$B$10,Paramètres!$A$1:$I$89,3,0)*VLOOKUP('Données projet'!$B$10,Paramètres!$A$1:$I$89,5,0)</f>
        <v>1.3301360013429075E-13</v>
      </c>
      <c r="AK120" s="13">
        <f t="shared" si="89"/>
        <v>1.9329766731057041E-12</v>
      </c>
      <c r="AL120" s="20">
        <f t="shared" si="58"/>
        <v>3.5982663925596575E-12</v>
      </c>
      <c r="AM120" s="59">
        <f t="shared" si="59"/>
        <v>281.50309518111322</v>
      </c>
      <c r="AN120" s="59">
        <f ca="1">AVERAGE(OFFSET($AM$3,0,0,'Données projet'!$E$10+1,1))-AVERAGE(OFFSET($H$3,0,0,'Données projet'!$E$10+1,1))</f>
        <v>381.55743422692029</v>
      </c>
      <c r="AO120" s="59">
        <f t="shared" si="90"/>
        <v>360.34132229290537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78.377693701096533</v>
      </c>
      <c r="AV120" s="21">
        <f>EXP(-LN(2)/25)*AV119+(1-EXP(-LN(2)/25))/(LN(2)/25)*Calculateur!AQ120*Calculateur!AS120*VLOOKUP('Données projet'!$B$10,Paramètres!$A$1:$I$89,3,0)*0.475*44/12</f>
        <v>8.9481643529429977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87.325858054039529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-70</v>
      </c>
      <c r="BE120" s="13">
        <f>BD120*VLOOKUP('Données projet'!$B$11,Paramètres!$A$1:$I$89,3,0)*VLOOKUP('Données projet'!$B$11,Paramètres!$A$1:$I$89,5,0)</f>
        <v>-56.783999999999999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99.41315989132292</v>
      </c>
      <c r="BJ120" s="59">
        <f t="shared" si="92"/>
        <v>111.63051055870588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15.98583813504516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15.98583813504516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6.5</v>
      </c>
      <c r="N121" s="13">
        <f>IF('Données projet'!$A$36&gt;35,N120+M121-V120,IF(A121&lt;'Données projet'!$A$36,$K$205^A121,IF(A121='Données projet'!$A$36,'Données projet'!$B$36,N120+M121-V120)))</f>
        <v>280.5</v>
      </c>
      <c r="O121" s="13">
        <f>N121*VLOOKUP('Données projet'!$B$9,Paramètres!$A$1:$I$89,3,0)*VLOOKUP('Données projet'!$B$9,Paramètres!$A$1:$I$89,5,0)</f>
        <v>253.79640000000001</v>
      </c>
      <c r="P121" s="13">
        <f t="shared" si="87"/>
        <v>61.39816832228076</v>
      </c>
      <c r="Q121" s="20">
        <f t="shared" si="107"/>
        <v>548.96387316130563</v>
      </c>
      <c r="R121" s="59">
        <f t="shared" si="55"/>
        <v>830.67219652590597</v>
      </c>
      <c r="S121" s="59">
        <f ca="1">AVERAGE(OFFSET($R$3,0,0,'Données projet'!$E$9+1,1))-AVERAGE(OFFSET($H$3,0,0,'Données projet'!$E$9+1,1))</f>
        <v>474.39725570496114</v>
      </c>
      <c r="T121" s="59">
        <f t="shared" si="88"/>
        <v>196.13536593828755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34.683101107406316</v>
      </c>
      <c r="AA121" s="21">
        <f>EXP(-LN(2)/25)*AA120+(1-EXP(-LN(2)/25))/(LN(2)/25)*Calculateur!V121*Calculateur!X121*VLOOKUP('Données projet'!$B$9,Paramètres!$A$1:$I$89,3,0)*0.475*44/12</f>
        <v>23.006759100498055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57.689860207904374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1.7053025658242404E-13</v>
      </c>
      <c r="AJ121" s="13">
        <f>AI121*VLOOKUP('Données projet'!$B$10,Paramètres!$A$1:$I$89,3,0)*VLOOKUP('Données projet'!$B$10,Paramètres!$A$1:$I$89,5,0)</f>
        <v>1.3301360013429075E-13</v>
      </c>
      <c r="AK121" s="13">
        <f t="shared" si="89"/>
        <v>1.9329766731057041E-12</v>
      </c>
      <c r="AL121" s="20">
        <f t="shared" si="58"/>
        <v>3.5982663925596575E-12</v>
      </c>
      <c r="AM121" s="59">
        <f t="shared" si="59"/>
        <v>281.70832336460398</v>
      </c>
      <c r="AN121" s="59">
        <f ca="1">AVERAGE(OFFSET($AM$3,0,0,'Données projet'!$E$10+1,1))-AVERAGE(OFFSET($H$3,0,0,'Données projet'!$E$10+1,1))</f>
        <v>381.55743422692029</v>
      </c>
      <c r="AO121" s="59">
        <f t="shared" si="90"/>
        <v>360.34132229290537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76.840754933290768</v>
      </c>
      <c r="AV121" s="21">
        <f>EXP(-LN(2)/25)*AV120+(1-EXP(-LN(2)/25))/(LN(2)/25)*Calculateur!AQ121*Calculateur!AS121*VLOOKUP('Données projet'!$B$10,Paramètres!$A$1:$I$89,3,0)*0.475*44/12</f>
        <v>8.703476328148259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85.544231261439023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-70</v>
      </c>
      <c r="BE121" s="13">
        <f>BD121*VLOOKUP('Données projet'!$B$11,Paramètres!$A$1:$I$89,3,0)*VLOOKUP('Données projet'!$B$11,Paramètres!$A$1:$I$89,5,0)</f>
        <v>-56.783999999999999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99.41315989132292</v>
      </c>
      <c r="BJ121" s="59">
        <f t="shared" si="92"/>
        <v>111.63051055870588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15.672365599615414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15.672365599615414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6.5</v>
      </c>
      <c r="N122" s="13">
        <f>IF('Données projet'!$A$36&gt;35,N121+M122-V121,IF(A122&lt;'Données projet'!$A$36,$K$205^A122,IF(A122='Données projet'!$A$36,'Données projet'!$B$36,N121+M122-V121)))</f>
        <v>287</v>
      </c>
      <c r="O122" s="13">
        <f>N122*VLOOKUP('Données projet'!$B$9,Paramètres!$A$1:$I$89,3,0)*VLOOKUP('Données projet'!$B$9,Paramètres!$A$1:$I$89,5,0)</f>
        <v>259.67759999999998</v>
      </c>
      <c r="P122" s="13">
        <f t="shared" si="87"/>
        <v>62.653650342775357</v>
      </c>
      <c r="Q122" s="20">
        <f t="shared" si="107"/>
        <v>561.39359434700032</v>
      </c>
      <c r="R122" s="59">
        <f t="shared" si="55"/>
        <v>843.3035856449294</v>
      </c>
      <c r="S122" s="59">
        <f ca="1">AVERAGE(OFFSET($R$3,0,0,'Données projet'!$E$9+1,1))-AVERAGE(OFFSET($H$3,0,0,'Données projet'!$E$9+1,1))</f>
        <v>474.39725570496114</v>
      </c>
      <c r="T122" s="59">
        <f t="shared" si="88"/>
        <v>196.13536593828755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34.002986649292907</v>
      </c>
      <c r="AA122" s="21">
        <f>EXP(-LN(2)/25)*AA121+(1-EXP(-LN(2)/25))/(LN(2)/25)*Calculateur!V122*Calculateur!X122*VLOOKUP('Données projet'!$B$9,Paramètres!$A$1:$I$89,3,0)*0.475*44/12</f>
        <v>22.377638063022058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56.380624712314969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1.7053025658242404E-13</v>
      </c>
      <c r="AJ122" s="13">
        <f>AI122*VLOOKUP('Données projet'!$B$10,Paramètres!$A$1:$I$89,3,0)*VLOOKUP('Données projet'!$B$10,Paramètres!$A$1:$I$89,5,0)</f>
        <v>1.3301360013429075E-13</v>
      </c>
      <c r="AK122" s="13">
        <f t="shared" si="89"/>
        <v>1.9329766731057041E-12</v>
      </c>
      <c r="AL122" s="20">
        <f t="shared" si="58"/>
        <v>3.5982663925596575E-12</v>
      </c>
      <c r="AM122" s="59">
        <f t="shared" si="59"/>
        <v>281.90999129793272</v>
      </c>
      <c r="AN122" s="59">
        <f ca="1">AVERAGE(OFFSET($AM$3,0,0,'Données projet'!$E$10+1,1))-AVERAGE(OFFSET($H$3,0,0,'Données projet'!$E$10+1,1))</f>
        <v>381.55743422692029</v>
      </c>
      <c r="AO122" s="59">
        <f t="shared" si="90"/>
        <v>360.34132229290537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75.33395459728159</v>
      </c>
      <c r="AV122" s="21">
        <f>EXP(-LN(2)/25)*AV121+(1-EXP(-LN(2)/25))/(LN(2)/25)*Calculateur!AQ122*Calculateur!AS122*VLOOKUP('Données projet'!$B$10,Paramètres!$A$1:$I$89,3,0)*0.475*44/12</f>
        <v>8.4654793102591164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83.799433907540703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-70</v>
      </c>
      <c r="BE122" s="13">
        <f>BD122*VLOOKUP('Données projet'!$B$11,Paramètres!$A$1:$I$89,3,0)*VLOOKUP('Données projet'!$B$11,Paramètres!$A$1:$I$89,5,0)</f>
        <v>-56.783999999999999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99.41315989132292</v>
      </c>
      <c r="BJ122" s="59">
        <f t="shared" si="92"/>
        <v>111.63051055870588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15.36504006940608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15.36504006940608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6.5</v>
      </c>
      <c r="N123" s="13">
        <f>IF('Données projet'!$A$36&gt;35,N122+M123-V122,IF(A123&lt;'Données projet'!$A$36,$K$205^A123,IF(A123='Données projet'!$A$36,'Données projet'!$B$36,N122+M123-V122)))</f>
        <v>293.5</v>
      </c>
      <c r="O123" s="13">
        <f>N123*VLOOKUP('Données projet'!$B$9,Paramètres!$A$1:$I$89,3,0)*VLOOKUP('Données projet'!$B$9,Paramètres!$A$1:$I$89,5,0)</f>
        <v>265.55880000000002</v>
      </c>
      <c r="P123" s="13">
        <f t="shared" si="87"/>
        <v>63.905826675315303</v>
      </c>
      <c r="Q123" s="20">
        <f t="shared" si="107"/>
        <v>573.81755812617416</v>
      </c>
      <c r="R123" s="59">
        <f t="shared" si="55"/>
        <v>855.92571886965084</v>
      </c>
      <c r="S123" s="59">
        <f ca="1">AVERAGE(OFFSET($R$3,0,0,'Données projet'!$E$9+1,1))-AVERAGE(OFFSET($H$3,0,0,'Données projet'!$E$9+1,1))</f>
        <v>474.39725570496114</v>
      </c>
      <c r="T123" s="59">
        <f t="shared" si="88"/>
        <v>196.13536593828755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33.336208820874248</v>
      </c>
      <c r="AA123" s="21">
        <f>EXP(-LN(2)/25)*AA122+(1-EXP(-LN(2)/25))/(LN(2)/25)*Calculateur!V123*Calculateur!X123*VLOOKUP('Données projet'!$B$9,Paramètres!$A$1:$I$89,3,0)*0.475*44/12</f>
        <v>21.76572037339988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55.101929194274128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1.7053025658242404E-13</v>
      </c>
      <c r="AJ123" s="13">
        <f>AI123*VLOOKUP('Données projet'!$B$10,Paramètres!$A$1:$I$89,3,0)*VLOOKUP('Données projet'!$B$10,Paramètres!$A$1:$I$89,5,0)</f>
        <v>1.3301360013429075E-13</v>
      </c>
      <c r="AK123" s="13">
        <f t="shared" si="89"/>
        <v>1.9329766731057041E-12</v>
      </c>
      <c r="AL123" s="20">
        <f t="shared" si="58"/>
        <v>3.5982663925596575E-12</v>
      </c>
      <c r="AM123" s="59">
        <f t="shared" si="59"/>
        <v>282.1081607434802</v>
      </c>
      <c r="AN123" s="59">
        <f ca="1">AVERAGE(OFFSET($AM$3,0,0,'Données projet'!$E$10+1,1))-AVERAGE(OFFSET($H$3,0,0,'Données projet'!$E$10+1,1))</f>
        <v>381.55743422692029</v>
      </c>
      <c r="AO123" s="59">
        <f t="shared" si="90"/>
        <v>360.34132229290537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73.856701696804095</v>
      </c>
      <c r="AV123" s="21">
        <f>EXP(-LN(2)/25)*AV122+(1-EXP(-LN(2)/25))/(LN(2)/25)*Calculateur!AQ123*Calculateur!AS123*VLOOKUP('Données projet'!$B$10,Paramètres!$A$1:$I$89,3,0)*0.475*44/12</f>
        <v>8.2339903333398716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82.09069203014397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-70</v>
      </c>
      <c r="BE123" s="13">
        <f>BD123*VLOOKUP('Données projet'!$B$11,Paramètres!$A$1:$I$89,3,0)*VLOOKUP('Données projet'!$B$11,Paramètres!$A$1:$I$89,5,0)</f>
        <v>-56.783999999999999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99.41315989132292</v>
      </c>
      <c r="BJ123" s="59">
        <f t="shared" si="92"/>
        <v>111.63051055870588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15.063741005394085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15.063741005394085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6.5</v>
      </c>
      <c r="N124" s="13">
        <f>IF('Données projet'!$A$36&gt;35,N123+M124-V123,IF(A124&lt;'Données projet'!$A$36,$K$205^A124,IF(A124='Données projet'!$A$36,'Données projet'!$B$36,N123+M124-V123)))</f>
        <v>300</v>
      </c>
      <c r="O124" s="13">
        <f>N124*VLOOKUP('Données projet'!$B$9,Paramètres!$A$1:$I$89,3,0)*VLOOKUP('Données projet'!$B$9,Paramètres!$A$1:$I$89,5,0)</f>
        <v>271.44</v>
      </c>
      <c r="P124" s="13">
        <f t="shared" si="87"/>
        <v>65.154778959151173</v>
      </c>
      <c r="Q124" s="20">
        <f t="shared" si="107"/>
        <v>586.23590668718828</v>
      </c>
      <c r="R124" s="59">
        <f t="shared" si="55"/>
        <v>868.53879907937267</v>
      </c>
      <c r="S124" s="59">
        <f ca="1">AVERAGE(OFFSET($R$3,0,0,'Données projet'!$E$9+1,1))-AVERAGE(OFFSET($H$3,0,0,'Données projet'!$E$9+1,1))</f>
        <v>474.39725570496114</v>
      </c>
      <c r="T124" s="59">
        <f t="shared" si="88"/>
        <v>196.13536593828755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32.68250609897656</v>
      </c>
      <c r="AA124" s="21">
        <f>EXP(-LN(2)/25)*AA123+(1-EXP(-LN(2)/25))/(LN(2)/25)*Calculateur!V124*Calculateur!X124*VLOOKUP('Données projet'!$B$9,Paramètres!$A$1:$I$89,3,0)*0.475*44/12</f>
        <v>21.170535605179772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53.853041704156333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1.7053025658242404E-13</v>
      </c>
      <c r="AJ124" s="13">
        <f>AI124*VLOOKUP('Données projet'!$B$10,Paramètres!$A$1:$I$89,3,0)*VLOOKUP('Données projet'!$B$10,Paramètres!$A$1:$I$89,5,0)</f>
        <v>1.3301360013429075E-13</v>
      </c>
      <c r="AK124" s="13">
        <f t="shared" si="89"/>
        <v>1.9329766731057041E-12</v>
      </c>
      <c r="AL124" s="20">
        <f t="shared" si="58"/>
        <v>3.5982663925596575E-12</v>
      </c>
      <c r="AM124" s="59">
        <f t="shared" si="59"/>
        <v>282.30289239218797</v>
      </c>
      <c r="AN124" s="59">
        <f ca="1">AVERAGE(OFFSET($AM$3,0,0,'Données projet'!$E$10+1,1))-AVERAGE(OFFSET($H$3,0,0,'Données projet'!$E$10+1,1))</f>
        <v>381.55743422692029</v>
      </c>
      <c r="AO124" s="59">
        <f t="shared" si="90"/>
        <v>360.34132229290537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72.408416824669672</v>
      </c>
      <c r="AV124" s="21">
        <f>EXP(-LN(2)/25)*AV123+(1-EXP(-LN(2)/25))/(LN(2)/25)*Calculateur!AQ124*Calculateur!AS124*VLOOKUP('Données projet'!$B$10,Paramètres!$A$1:$I$89,3,0)*0.475*44/12</f>
        <v>8.008831434667961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80.41724825933764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-70</v>
      </c>
      <c r="BE124" s="13">
        <f>BD124*VLOOKUP('Données projet'!$B$11,Paramètres!$A$1:$I$89,3,0)*VLOOKUP('Données projet'!$B$11,Paramètres!$A$1:$I$89,5,0)</f>
        <v>-56.783999999999999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99.41315989132292</v>
      </c>
      <c r="BJ124" s="59">
        <f t="shared" si="92"/>
        <v>111.63051055870588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14.768350232253084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14.768350232253084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6.5</v>
      </c>
      <c r="N125" s="13">
        <f>IF('Données projet'!$A$36&gt;35,N124+M125-V124,IF(A125&lt;'Données projet'!$A$36,$K$205^A125,IF(A125='Données projet'!$A$36,'Données projet'!$B$36,N124+M125-V124)))</f>
        <v>306.5</v>
      </c>
      <c r="O125" s="13">
        <f>N125*VLOOKUP('Données projet'!$B$9,Paramètres!$A$1:$I$89,3,0)*VLOOKUP('Données projet'!$B$9,Paramètres!$A$1:$I$89,5,0)</f>
        <v>277.32119999999998</v>
      </c>
      <c r="P125" s="13">
        <f t="shared" si="87"/>
        <v>66.400585093776115</v>
      </c>
      <c r="Q125" s="20">
        <f t="shared" si="107"/>
        <v>598.64877570499334</v>
      </c>
      <c r="R125" s="59">
        <f t="shared" si="55"/>
        <v>881.14302158713508</v>
      </c>
      <c r="S125" s="59">
        <f ca="1">AVERAGE(OFFSET($R$3,0,0,'Données projet'!$E$9+1,1))-AVERAGE(OFFSET($H$3,0,0,'Données projet'!$E$9+1,1))</f>
        <v>474.39725570496114</v>
      </c>
      <c r="T125" s="59">
        <f t="shared" si="88"/>
        <v>196.13536593828755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32.041622088735998</v>
      </c>
      <c r="AA125" s="21">
        <f>EXP(-LN(2)/25)*AA124+(1-EXP(-LN(2)/25))/(LN(2)/25)*Calculateur!V125*Calculateur!X125*VLOOKUP('Données projet'!$B$9,Paramètres!$A$1:$I$89,3,0)*0.475*44/12</f>
        <v>20.591626195746048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52.63324828448205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1.7053025658242404E-13</v>
      </c>
      <c r="AJ125" s="13">
        <f>AI125*VLOOKUP('Données projet'!$B$10,Paramètres!$A$1:$I$89,3,0)*VLOOKUP('Données projet'!$B$10,Paramètres!$A$1:$I$89,5,0)</f>
        <v>1.3301360013429075E-13</v>
      </c>
      <c r="AK125" s="13">
        <f t="shared" si="89"/>
        <v>1.9329766731057041E-12</v>
      </c>
      <c r="AL125" s="20">
        <f t="shared" si="58"/>
        <v>3.5982663925596575E-12</v>
      </c>
      <c r="AM125" s="59">
        <f t="shared" si="59"/>
        <v>282.49424588214538</v>
      </c>
      <c r="AN125" s="59">
        <f ca="1">AVERAGE(OFFSET($AM$3,0,0,'Données projet'!$E$10+1,1))-AVERAGE(OFFSET($H$3,0,0,'Données projet'!$E$10+1,1))</f>
        <v>381.55743422692029</v>
      </c>
      <c r="AO125" s="59">
        <f t="shared" si="90"/>
        <v>360.34132229290537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70.988531935511247</v>
      </c>
      <c r="AV125" s="21">
        <f>EXP(-LN(2)/25)*AV124+(1-EXP(-LN(2)/25))/(LN(2)/25)*Calculateur!AQ125*Calculateur!AS125*VLOOKUP('Données projet'!$B$10,Paramètres!$A$1:$I$89,3,0)*0.475*44/12</f>
        <v>7.7898295179208246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78.778361453432069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-70</v>
      </c>
      <c r="BE125" s="13">
        <f>BD125*VLOOKUP('Données projet'!$B$11,Paramètres!$A$1:$I$89,3,0)*VLOOKUP('Données projet'!$B$11,Paramètres!$A$1:$I$89,5,0)</f>
        <v>-56.783999999999999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99.41315989132292</v>
      </c>
      <c r="BJ125" s="59">
        <f t="shared" si="92"/>
        <v>111.63051055870588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14.478751892002796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14.478751892002796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6.5</v>
      </c>
      <c r="N126" s="13">
        <f>IF('Données projet'!$A$36&gt;35,N125+M126-V125,IF(A126&lt;'Données projet'!$A$36,$K$205^A126,IF(A126='Données projet'!$A$36,'Données projet'!$B$36,N125+M126-V125)))</f>
        <v>313</v>
      </c>
      <c r="O126" s="13">
        <f>N126*VLOOKUP('Données projet'!$B$9,Paramètres!$A$1:$I$89,3,0)*VLOOKUP('Données projet'!$B$9,Paramètres!$A$1:$I$89,5,0)</f>
        <v>283.20240000000001</v>
      </c>
      <c r="P126" s="13">
        <f t="shared" si="87"/>
        <v>67.643319485855841</v>
      </c>
      <c r="Q126" s="20">
        <f t="shared" si="107"/>
        <v>611.05629477119896</v>
      </c>
      <c r="R126" s="59">
        <f t="shared" si="55"/>
        <v>893.73857458804969</v>
      </c>
      <c r="S126" s="59">
        <f ca="1">AVERAGE(OFFSET($R$3,0,0,'Données projet'!$E$9+1,1))-AVERAGE(OFFSET($H$3,0,0,'Données projet'!$E$9+1,1))</f>
        <v>474.39725570496114</v>
      </c>
      <c r="T126" s="59">
        <f t="shared" si="88"/>
        <v>196.13536593828755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31.413305423035602</v>
      </c>
      <c r="AA126" s="21">
        <f>EXP(-LN(2)/25)*AA125+(1-EXP(-LN(2)/25))/(LN(2)/25)*Calculateur!V126*Calculateur!X126*VLOOKUP('Données projet'!$B$9,Paramètres!$A$1:$I$89,3,0)*0.475*44/12</f>
        <v>20.028547094556814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51.441852517592416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1.7053025658242404E-13</v>
      </c>
      <c r="AJ126" s="13">
        <f>AI126*VLOOKUP('Données projet'!$B$10,Paramètres!$A$1:$I$89,3,0)*VLOOKUP('Données projet'!$B$10,Paramètres!$A$1:$I$89,5,0)</f>
        <v>1.3301360013429075E-13</v>
      </c>
      <c r="AK126" s="13">
        <f t="shared" si="89"/>
        <v>1.9329766731057041E-12</v>
      </c>
      <c r="AL126" s="20">
        <f t="shared" si="58"/>
        <v>3.5982663925596575E-12</v>
      </c>
      <c r="AM126" s="59">
        <f t="shared" si="59"/>
        <v>282.68227981685425</v>
      </c>
      <c r="AN126" s="59">
        <f ca="1">AVERAGE(OFFSET($AM$3,0,0,'Données projet'!$E$10+1,1))-AVERAGE(OFFSET($H$3,0,0,'Données projet'!$E$10+1,1))</f>
        <v>381.55743422692029</v>
      </c>
      <c r="AO126" s="59">
        <f t="shared" si="90"/>
        <v>360.34132229290537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69.59649012298496</v>
      </c>
      <c r="AV126" s="21">
        <f>EXP(-LN(2)/25)*AV125+(1-EXP(-LN(2)/25))/(LN(2)/25)*Calculateur!AQ126*Calculateur!AS126*VLOOKUP('Données projet'!$B$10,Paramètres!$A$1:$I$89,3,0)*0.475*44/12</f>
        <v>7.5768162201039493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77.17330634308891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-70</v>
      </c>
      <c r="BE126" s="13">
        <f>BD126*VLOOKUP('Données projet'!$B$11,Paramètres!$A$1:$I$89,3,0)*VLOOKUP('Données projet'!$B$11,Paramètres!$A$1:$I$89,5,0)</f>
        <v>-56.783999999999999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99.41315989132292</v>
      </c>
      <c r="BJ126" s="59">
        <f t="shared" si="92"/>
        <v>111.63051055870588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14.19483239856727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14.19483239856727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6.5</v>
      </c>
      <c r="N127" s="13">
        <f>IF('Données projet'!$A$36&gt;35,N126+M127-V126,IF(A127&lt;'Données projet'!$A$36,$K$205^A127,IF(A127='Données projet'!$A$36,'Données projet'!$B$36,N126+M127-V126)))</f>
        <v>319.5</v>
      </c>
      <c r="O127" s="13">
        <f>N127*VLOOKUP('Données projet'!$B$9,Paramètres!$A$1:$I$89,3,0)*VLOOKUP('Données projet'!$B$9,Paramètres!$A$1:$I$89,5,0)</f>
        <v>289.08359999999999</v>
      </c>
      <c r="P127" s="13">
        <f t="shared" si="87"/>
        <v>68.883053275068164</v>
      </c>
      <c r="Q127" s="20">
        <f t="shared" si="107"/>
        <v>623.45858778741035</v>
      </c>
      <c r="R127" s="59">
        <f t="shared" si="55"/>
        <v>906.32563957058369</v>
      </c>
      <c r="S127" s="59">
        <f ca="1">AVERAGE(OFFSET($R$3,0,0,'Données projet'!$E$9+1,1))-AVERAGE(OFFSET($H$3,0,0,'Données projet'!$E$9+1,1))</f>
        <v>474.39725570496114</v>
      </c>
      <c r="T127" s="59">
        <f t="shared" si="88"/>
        <v>196.13536593828755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30.797309663914266</v>
      </c>
      <c r="AA127" s="21">
        <f>EXP(-LN(2)/25)*AA126+(1-EXP(-LN(2)/25))/(LN(2)/25)*Calculateur!V127*Calculateur!X127*VLOOKUP('Données projet'!$B$9,Paramètres!$A$1:$I$89,3,0)*0.475*44/12</f>
        <v>19.48086542100064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50.278175084914906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1.7053025658242404E-13</v>
      </c>
      <c r="AJ127" s="13">
        <f>AI127*VLOOKUP('Données projet'!$B$10,Paramètres!$A$1:$I$89,3,0)*VLOOKUP('Données projet'!$B$10,Paramètres!$A$1:$I$89,5,0)</f>
        <v>1.3301360013429075E-13</v>
      </c>
      <c r="AK127" s="13">
        <f t="shared" si="89"/>
        <v>1.9329766731057041E-12</v>
      </c>
      <c r="AL127" s="20">
        <f t="shared" si="58"/>
        <v>3.5982663925596575E-12</v>
      </c>
      <c r="AM127" s="59">
        <f t="shared" si="59"/>
        <v>282.86705178317692</v>
      </c>
      <c r="AN127" s="59">
        <f ca="1">AVERAGE(OFFSET($AM$3,0,0,'Données projet'!$E$10+1,1))-AVERAGE(OFFSET($H$3,0,0,'Données projet'!$E$10+1,1))</f>
        <v>381.55743422692029</v>
      </c>
      <c r="AO127" s="59">
        <f t="shared" si="90"/>
        <v>360.34132229290537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68.231745401340646</v>
      </c>
      <c r="AV127" s="21">
        <f>EXP(-LN(2)/25)*AV126+(1-EXP(-LN(2)/25))/(LN(2)/25)*Calculateur!AQ127*Calculateur!AS127*VLOOKUP('Données projet'!$B$10,Paramètres!$A$1:$I$89,3,0)*0.475*44/12</f>
        <v>7.3696277821177585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75.601373183458406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-70</v>
      </c>
      <c r="BE127" s="13">
        <f>BD127*VLOOKUP('Données projet'!$B$11,Paramètres!$A$1:$I$89,3,0)*VLOOKUP('Données projet'!$B$11,Paramètres!$A$1:$I$89,5,0)</f>
        <v>-56.783999999999999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99.41315989132292</v>
      </c>
      <c r="BJ127" s="59">
        <f t="shared" si="92"/>
        <v>111.63051055870588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13.916480393224223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13.916480393224223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326</v>
      </c>
      <c r="L128" s="12">
        <f>VLOOKUP(A128,'Données projet'!$A$35:$I$55,9,0)</f>
        <v>6.5</v>
      </c>
      <c r="M128" s="12">
        <f t="array" ref="M128">INDEX(L:L,MIN(IF(ISNUMBER(L128:L324),ROW(L128:L324),"")))</f>
        <v>6.5</v>
      </c>
      <c r="N128" s="13">
        <f>IF('Données projet'!$A$36&gt;35,N127+M128-V127,IF(A128&lt;'Données projet'!$A$36,$K$205^A128,IF(A128='Données projet'!$A$36,'Données projet'!$B$36,N127+M128-V127)))</f>
        <v>326</v>
      </c>
      <c r="O128" s="13">
        <f>N128*VLOOKUP('Données projet'!$B$9,Paramètres!$A$1:$I$89,3,0)*VLOOKUP('Données projet'!$B$9,Paramètres!$A$1:$I$89,5,0)</f>
        <v>294.96479999999997</v>
      </c>
      <c r="P128" s="13">
        <f t="shared" si="87"/>
        <v>70.119854541045001</v>
      </c>
      <c r="Q128" s="20">
        <f t="shared" si="107"/>
        <v>635.85577332565333</v>
      </c>
      <c r="R128" s="59">
        <f t="shared" si="55"/>
        <v>918.90439169462184</v>
      </c>
      <c r="S128" s="59">
        <f ca="1">AVERAGE(OFFSET($R$3,0,0,'Données projet'!$E$9+1,1))-AVERAGE(OFFSET($H$3,0,0,'Données projet'!$E$9+1,1))</f>
        <v>474.39725570496114</v>
      </c>
      <c r="T128" s="59">
        <f t="shared" si="88"/>
        <v>196.13536593828755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47</v>
      </c>
      <c r="W128" s="16">
        <f>IF(ISNA(VLOOKUP(A128,'Données projet'!$A$35:$I$55,5,0)),0%,VLOOKUP(A128,'Données projet'!$A$35:$I$55,5,0)*VLOOKUP('Données projet'!$B$9,Paramètres!$A$1:$I$89,7,0))</f>
        <v>0.215</v>
      </c>
      <c r="X128" s="16">
        <f>IF(ISNA(VLOOKUP(A128,'Données projet'!$A$35:$I$55,6,0)),0%,VLOOKUP(A128,'Données projet'!$A$35:$I$55,6,0)*VLOOKUP('Données projet'!$B$9,Paramètres!$A$1:$I$89,7,0))</f>
        <v>0.17200000000000001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40.300713307860264</v>
      </c>
      <c r="AA128" s="21">
        <f>EXP(-LN(2)/25)*AA127+(1-EXP(-LN(2)/25))/(LN(2)/25)*Calculateur!V128*Calculateur!X128*VLOOKUP('Données projet'!$B$9,Paramètres!$A$1:$I$89,3,0)*0.475*44/12</f>
        <v>27.002179116824401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67.302892424684671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1.7053025658242404E-13</v>
      </c>
      <c r="AJ128" s="13">
        <f>AI128*VLOOKUP('Données projet'!$B$10,Paramètres!$A$1:$I$89,3,0)*VLOOKUP('Données projet'!$B$10,Paramètres!$A$1:$I$89,5,0)</f>
        <v>1.3301360013429075E-13</v>
      </c>
      <c r="AK128" s="13">
        <f t="shared" si="89"/>
        <v>1.9329766731057041E-12</v>
      </c>
      <c r="AL128" s="20">
        <f t="shared" si="58"/>
        <v>3.5982663925596575E-12</v>
      </c>
      <c r="AM128" s="59">
        <f t="shared" si="59"/>
        <v>283.04861836897209</v>
      </c>
      <c r="AN128" s="59">
        <f ca="1">AVERAGE(OFFSET($AM$3,0,0,'Données projet'!$E$10+1,1))-AVERAGE(OFFSET($H$3,0,0,'Données projet'!$E$10+1,1))</f>
        <v>381.55743422692029</v>
      </c>
      <c r="AO128" s="59">
        <f t="shared" si="90"/>
        <v>360.34132229290537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66.893762491275695</v>
      </c>
      <c r="AV128" s="21">
        <f>EXP(-LN(2)/25)*AV127+(1-EXP(-LN(2)/25))/(LN(2)/25)*Calculateur!AQ128*Calculateur!AS128*VLOOKUP('Données projet'!$B$10,Paramètres!$A$1:$I$89,3,0)*0.475*44/12</f>
        <v>7.1681049228638667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74.061867414139556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-70</v>
      </c>
      <c r="BE128" s="13">
        <f>BD128*VLOOKUP('Données projet'!$B$11,Paramètres!$A$1:$I$89,3,0)*VLOOKUP('Données projet'!$B$11,Paramètres!$A$1:$I$89,5,0)</f>
        <v>-56.783999999999999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99.41315989132292</v>
      </c>
      <c r="BJ128" s="59">
        <f t="shared" si="92"/>
        <v>111.63051055870588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13.643586700927994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13.643586700927994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6.4</v>
      </c>
      <c r="N129" s="13">
        <f>IF('Données projet'!$A$36&gt;35,N128+M129-V128,IF(A129&lt;'Données projet'!$A$36,$K$205^A129,IF(A129='Données projet'!$A$36,'Données projet'!$B$36,N128+M129-V128)))</f>
        <v>285.39999999999998</v>
      </c>
      <c r="O129" s="13">
        <f>N129*VLOOKUP('Données projet'!$B$9,Paramètres!$A$1:$I$89,3,0)*VLOOKUP('Données projet'!$B$9,Paramètres!$A$1:$I$89,5,0)</f>
        <v>258.22991999999999</v>
      </c>
      <c r="P129" s="13">
        <f t="shared" si="87"/>
        <v>62.344918550897063</v>
      </c>
      <c r="Q129" s="20">
        <f t="shared" si="107"/>
        <v>558.33451047614574</v>
      </c>
      <c r="R129" s="59">
        <f t="shared" si="55"/>
        <v>841.56154565656789</v>
      </c>
      <c r="S129" s="59">
        <f ca="1">AVERAGE(OFFSET($R$3,0,0,'Données projet'!$E$9+1,1))-AVERAGE(OFFSET($H$3,0,0,'Données projet'!$E$9+1,1))</f>
        <v>474.39725570496114</v>
      </c>
      <c r="T129" s="59">
        <f t="shared" si="88"/>
        <v>196.13536593828755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39.510440900901067</v>
      </c>
      <c r="AA129" s="21">
        <f>EXP(-LN(2)/25)*AA128+(1-EXP(-LN(2)/25))/(LN(2)/25)*Calculateur!V129*Calculateur!X129*VLOOKUP('Données projet'!$B$9,Paramètres!$A$1:$I$89,3,0)*0.475*44/12</f>
        <v>26.263803108891953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65.774244009793023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1.7053025658242404E-13</v>
      </c>
      <c r="AJ129" s="13">
        <f>AI129*VLOOKUP('Données projet'!$B$10,Paramètres!$A$1:$I$89,3,0)*VLOOKUP('Données projet'!$B$10,Paramètres!$A$1:$I$89,5,0)</f>
        <v>1.3301360013429075E-13</v>
      </c>
      <c r="AK129" s="13">
        <f t="shared" si="89"/>
        <v>1.9329766731057041E-12</v>
      </c>
      <c r="AL129" s="20">
        <f t="shared" si="58"/>
        <v>3.5982663925596575E-12</v>
      </c>
      <c r="AM129" s="59">
        <f t="shared" si="59"/>
        <v>283.22703518042579</v>
      </c>
      <c r="AN129" s="59">
        <f ca="1">AVERAGE(OFFSET($AM$3,0,0,'Données projet'!$E$10+1,1))-AVERAGE(OFFSET($H$3,0,0,'Données projet'!$E$10+1,1))</f>
        <v>381.55743422692029</v>
      </c>
      <c r="AO129" s="59">
        <f t="shared" si="90"/>
        <v>360.34132229290537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65.582016609988116</v>
      </c>
      <c r="AV129" s="21">
        <f>EXP(-LN(2)/25)*AV128+(1-EXP(-LN(2)/25))/(LN(2)/25)*Calculateur!AQ129*Calculateur!AS129*VLOOKUP('Données projet'!$B$10,Paramètres!$A$1:$I$89,3,0)*0.475*44/12</f>
        <v>6.9720927167938989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72.554109326782012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-70</v>
      </c>
      <c r="BE129" s="13">
        <f>BD129*VLOOKUP('Données projet'!$B$11,Paramètres!$A$1:$I$89,3,0)*VLOOKUP('Données projet'!$B$11,Paramètres!$A$1:$I$89,5,0)</f>
        <v>-56.783999999999999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99.41315989132292</v>
      </c>
      <c r="BJ129" s="59">
        <f t="shared" si="92"/>
        <v>111.63051055870588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13.376044287488977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13.376044287488977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6.4</v>
      </c>
      <c r="N130" s="13">
        <f>IF('Données projet'!$A$36&gt;35,N129+M130-V129,IF(A130&lt;'Données projet'!$A$36,$K$205^A130,IF(A130='Données projet'!$A$36,'Données projet'!$B$36,N129+M130-V129)))</f>
        <v>291.79999999999995</v>
      </c>
      <c r="O130" s="13">
        <f>N130*VLOOKUP('Données projet'!$B$9,Paramètres!$A$1:$I$89,3,0)*VLOOKUP('Données projet'!$B$9,Paramètres!$A$1:$I$89,5,0)</f>
        <v>264.02063999999996</v>
      </c>
      <c r="P130" s="13">
        <f t="shared" si="87"/>
        <v>63.578648990959174</v>
      </c>
      <c r="Q130" s="20">
        <f t="shared" si="107"/>
        <v>570.56876165925371</v>
      </c>
      <c r="R130" s="59">
        <f t="shared" si="55"/>
        <v>853.9711185183312</v>
      </c>
      <c r="S130" s="59">
        <f ca="1">AVERAGE(OFFSET($R$3,0,0,'Données projet'!$E$9+1,1))-AVERAGE(OFFSET($H$3,0,0,'Données projet'!$E$9+1,1))</f>
        <v>474.39725570496114</v>
      </c>
      <c r="T130" s="59">
        <f t="shared" si="88"/>
        <v>196.13536593828755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38.735665253823768</v>
      </c>
      <c r="AA130" s="21">
        <f>EXP(-LN(2)/25)*AA129+(1-EXP(-LN(2)/25))/(LN(2)/25)*Calculateur!V130*Calculateur!X130*VLOOKUP('Données projet'!$B$9,Paramètres!$A$1:$I$89,3,0)*0.475*44/12</f>
        <v>25.545618031725922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64.281283285549691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1.7053025658242404E-13</v>
      </c>
      <c r="AJ130" s="13">
        <f>AI130*VLOOKUP('Données projet'!$B$10,Paramètres!$A$1:$I$89,3,0)*VLOOKUP('Données projet'!$B$10,Paramètres!$A$1:$I$89,5,0)</f>
        <v>1.3301360013429075E-13</v>
      </c>
      <c r="AK130" s="13">
        <f t="shared" si="89"/>
        <v>1.9329766731057041E-12</v>
      </c>
      <c r="AL130" s="20">
        <f t="shared" si="58"/>
        <v>3.5982663925596575E-12</v>
      </c>
      <c r="AM130" s="59">
        <f t="shared" si="59"/>
        <v>283.40235685908101</v>
      </c>
      <c r="AN130" s="59">
        <f ca="1">AVERAGE(OFFSET($AM$3,0,0,'Données projet'!$E$10+1,1))-AVERAGE(OFFSET($H$3,0,0,'Données projet'!$E$10+1,1))</f>
        <v>381.55743422692029</v>
      </c>
      <c r="AO130" s="59">
        <f t="shared" si="90"/>
        <v>360.34132229290537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64.29599326534661</v>
      </c>
      <c r="AV130" s="21">
        <f>EXP(-LN(2)/25)*AV129+(1-EXP(-LN(2)/25))/(LN(2)/25)*Calculateur!AQ130*Calculateur!AS130*VLOOKUP('Données projet'!$B$10,Paramètres!$A$1:$I$89,3,0)*0.475*44/12</f>
        <v>6.7814404748067485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71.077433740153353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-70</v>
      </c>
      <c r="BE130" s="13">
        <f>BD130*VLOOKUP('Données projet'!$B$11,Paramètres!$A$1:$I$89,3,0)*VLOOKUP('Données projet'!$B$11,Paramètres!$A$1:$I$89,5,0)</f>
        <v>-56.783999999999999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99.41315989132292</v>
      </c>
      <c r="BJ130" s="59">
        <f t="shared" si="92"/>
        <v>111.63051055870588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13.11374821759274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13.11374821759274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6.4</v>
      </c>
      <c r="N131" s="13">
        <f>IF('Données projet'!$A$36&gt;35,N130+M131-V130,IF(A131&lt;'Données projet'!$A$36,$K$205^A131,IF(A131='Données projet'!$A$36,'Données projet'!$B$36,N130+M131-V130)))</f>
        <v>298.19999999999993</v>
      </c>
      <c r="O131" s="13">
        <f>N131*VLOOKUP('Données projet'!$B$9,Paramètres!$A$1:$I$89,3,0)*VLOOKUP('Données projet'!$B$9,Paramètres!$A$1:$I$89,5,0)</f>
        <v>269.81135999999992</v>
      </c>
      <c r="P131" s="13">
        <f t="shared" si="87"/>
        <v>64.809233490575778</v>
      </c>
      <c r="Q131" s="20">
        <f t="shared" ref="Q131:Q153" si="108">(O131+P131)*0.475*44/12</f>
        <v>582.79753366275258</v>
      </c>
      <c r="R131" s="59">
        <f t="shared" ref="R131:R194" si="109">Q131+(I131+J131)*44/12</f>
        <v>866.37217076132106</v>
      </c>
      <c r="S131" s="59">
        <f ca="1">AVERAGE(OFFSET($R$3,0,0,'Données projet'!$E$9+1,1))-AVERAGE(OFFSET($H$3,0,0,'Données projet'!$E$9+1,1))</f>
        <v>474.39725570496114</v>
      </c>
      <c r="T131" s="59">
        <f t="shared" si="88"/>
        <v>196.13536593828755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37.976082484619177</v>
      </c>
      <c r="AA131" s="21">
        <f>EXP(-LN(2)/25)*AA130+(1-EXP(-LN(2)/25))/(LN(2)/25)*Calculateur!V131*Calculateur!X131*VLOOKUP('Données projet'!$B$9,Paramètres!$A$1:$I$89,3,0)*0.475*44/12</f>
        <v>24.847071763262711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62.823154247881888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1.7053025658242404E-13</v>
      </c>
      <c r="AJ131" s="13">
        <f>AI131*VLOOKUP('Données projet'!$B$10,Paramètres!$A$1:$I$89,3,0)*VLOOKUP('Données projet'!$B$10,Paramètres!$A$1:$I$89,5,0)</f>
        <v>1.3301360013429075E-13</v>
      </c>
      <c r="AK131" s="13">
        <f t="shared" si="89"/>
        <v>1.9329766731057041E-12</v>
      </c>
      <c r="AL131" s="20">
        <f t="shared" si="58"/>
        <v>3.5982663925596575E-12</v>
      </c>
      <c r="AM131" s="59">
        <f t="shared" si="59"/>
        <v>283.57463709857211</v>
      </c>
      <c r="AN131" s="59">
        <f ca="1">AVERAGE(OFFSET($AM$3,0,0,'Données projet'!$E$10+1,1))-AVERAGE(OFFSET($H$3,0,0,'Données projet'!$E$10+1,1))</f>
        <v>381.55743422692029</v>
      </c>
      <c r="AO131" s="59">
        <f t="shared" si="90"/>
        <v>360.34132229290537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63.035188054096729</v>
      </c>
      <c r="AV131" s="21">
        <f>EXP(-LN(2)/25)*AV130+(1-EXP(-LN(2)/25))/(LN(2)/25)*Calculateur!AQ131*Calculateur!AS131*VLOOKUP('Données projet'!$B$10,Paramètres!$A$1:$I$89,3,0)*0.475*44/12</f>
        <v>6.5960016284027025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69.631189682499425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-70</v>
      </c>
      <c r="BE131" s="13">
        <f>BD131*VLOOKUP('Données projet'!$B$11,Paramètres!$A$1:$I$89,3,0)*VLOOKUP('Données projet'!$B$11,Paramètres!$A$1:$I$89,5,0)</f>
        <v>-56.783999999999999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99.41315989132292</v>
      </c>
      <c r="BJ131" s="59">
        <f t="shared" si="92"/>
        <v>111.63051055870588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12.856595613642362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12.856595613642362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6.4</v>
      </c>
      <c r="N132" s="13">
        <f>IF('Données projet'!$A$36&gt;35,N131+M132-V131,IF(A132&lt;'Données projet'!$A$36,$K$205^A132,IF(A132='Données projet'!$A$36,'Données projet'!$B$36,N131+M132-V131)))</f>
        <v>304.59999999999991</v>
      </c>
      <c r="O132" s="13">
        <f>N132*VLOOKUP('Données projet'!$B$9,Paramètres!$A$1:$I$89,3,0)*VLOOKUP('Données projet'!$B$9,Paramètres!$A$1:$I$89,5,0)</f>
        <v>275.60207999999989</v>
      </c>
      <c r="P132" s="13">
        <f t="shared" si="87"/>
        <v>66.036747345007313</v>
      </c>
      <c r="Q132" s="20">
        <f t="shared" si="108"/>
        <v>595.02095762588749</v>
      </c>
      <c r="R132" s="59">
        <f t="shared" si="109"/>
        <v>878.76488628695279</v>
      </c>
      <c r="S132" s="59">
        <f ca="1">AVERAGE(OFFSET($R$3,0,0,'Données projet'!$E$9+1,1))-AVERAGE(OFFSET($H$3,0,0,'Données projet'!$E$9+1,1))</f>
        <v>474.39725570496114</v>
      </c>
      <c r="T132" s="59">
        <f t="shared" si="88"/>
        <v>196.13536593828755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37.23139467021894</v>
      </c>
      <c r="AA132" s="21">
        <f>EXP(-LN(2)/25)*AA131+(1-EXP(-LN(2)/25))/(LN(2)/25)*Calculateur!V132*Calculateur!X132*VLOOKUP('Données projet'!$B$9,Paramètres!$A$1:$I$89,3,0)*0.475*44/12</f>
        <v>24.167627279245576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61.399021949464512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1.7053025658242404E-13</v>
      </c>
      <c r="AJ132" s="13">
        <f>AI132*VLOOKUP('Données projet'!$B$10,Paramètres!$A$1:$I$89,3,0)*VLOOKUP('Données projet'!$B$10,Paramètres!$A$1:$I$89,5,0)</f>
        <v>1.3301360013429075E-13</v>
      </c>
      <c r="AK132" s="13">
        <f t="shared" si="89"/>
        <v>1.9329766731057041E-12</v>
      </c>
      <c r="AL132" s="20">
        <f t="shared" ref="AL132:AL153" si="112">(AJ132+AK132)*0.475*44/12</f>
        <v>3.5982663925596575E-12</v>
      </c>
      <c r="AM132" s="59">
        <f t="shared" ref="AM132:AM195" si="113">AL132+(AD132+AE132)*44/12</f>
        <v>283.74392866106894</v>
      </c>
      <c r="AN132" s="59">
        <f ca="1">AVERAGE(OFFSET($AM$3,0,0,'Données projet'!$E$10+1,1))-AVERAGE(OFFSET($H$3,0,0,'Données projet'!$E$10+1,1))</f>
        <v>381.55743422692029</v>
      </c>
      <c r="AO132" s="59">
        <f t="shared" si="90"/>
        <v>360.34132229290537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61.799106464024213</v>
      </c>
      <c r="AV132" s="21">
        <f>EXP(-LN(2)/25)*AV131+(1-EXP(-LN(2)/25))/(LN(2)/25)*Calculateur!AQ132*Calculateur!AS132*VLOOKUP('Données projet'!$B$10,Paramètres!$A$1:$I$89,3,0)*0.475*44/12</f>
        <v>6.4156336170053807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68.214740081029589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-70</v>
      </c>
      <c r="BE132" s="13">
        <f>BD132*VLOOKUP('Données projet'!$B$11,Paramètres!$A$1:$I$89,3,0)*VLOOKUP('Données projet'!$B$11,Paramètres!$A$1:$I$89,5,0)</f>
        <v>-56.783999999999999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99.41315989132292</v>
      </c>
      <c r="BJ132" s="59">
        <f t="shared" si="92"/>
        <v>111.63051055870588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12.604485615407851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12.604485615407851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6.4</v>
      </c>
      <c r="N133" s="13">
        <f>IF('Données projet'!$A$36&gt;35,N132+M133-V132,IF(A133&lt;'Données projet'!$A$36,$K$205^A133,IF(A133='Données projet'!$A$36,'Données projet'!$B$36,N132+M133-V132)))</f>
        <v>310.99999999999989</v>
      </c>
      <c r="O133" s="13">
        <f>N133*VLOOKUP('Données projet'!$B$9,Paramètres!$A$1:$I$89,3,0)*VLOOKUP('Données projet'!$B$9,Paramètres!$A$1:$I$89,5,0)</f>
        <v>281.39279999999985</v>
      </c>
      <c r="P133" s="13">
        <f t="shared" ref="P133:P196" si="141">EXP(-1.0587+0.8836*LN(O133)+0.284)</f>
        <v>67.261262504634658</v>
      </c>
      <c r="Q133" s="20">
        <f t="shared" si="108"/>
        <v>607.23915886223847</v>
      </c>
      <c r="R133" s="59">
        <f t="shared" si="109"/>
        <v>891.14944225567058</v>
      </c>
      <c r="S133" s="59">
        <f ca="1">AVERAGE(OFFSET($R$3,0,0,'Données projet'!$E$9+1,1))-AVERAGE(OFFSET($H$3,0,0,'Données projet'!$E$9+1,1))</f>
        <v>474.39725570496114</v>
      </c>
      <c r="T133" s="59">
        <f t="shared" ref="T133:T196" si="142">$T$3</f>
        <v>196.13536593828755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36.501309729644376</v>
      </c>
      <c r="AA133" s="21">
        <f>EXP(-LN(2)/25)*AA132+(1-EXP(-LN(2)/25))/(LN(2)/25)*Calculateur!V133*Calculateur!X133*VLOOKUP('Données projet'!$B$9,Paramètres!$A$1:$I$89,3,0)*0.475*44/12</f>
        <v>23.506762240374321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60.008071970018698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1.7053025658242404E-13</v>
      </c>
      <c r="AJ133" s="13">
        <f>AI133*VLOOKUP('Données projet'!$B$10,Paramètres!$A$1:$I$89,3,0)*VLOOKUP('Données projet'!$B$10,Paramètres!$A$1:$I$89,5,0)</f>
        <v>1.3301360013429075E-13</v>
      </c>
      <c r="AK133" s="13">
        <f t="shared" ref="AK133:AK153" si="143">EXP(-1.0587+0.8836*LN(AJ133)+0.284)</f>
        <v>1.9329766731057041E-12</v>
      </c>
      <c r="AL133" s="20">
        <f t="shared" si="112"/>
        <v>3.5982663925596575E-12</v>
      </c>
      <c r="AM133" s="59">
        <f t="shared" si="113"/>
        <v>283.91028339343569</v>
      </c>
      <c r="AN133" s="59">
        <f ca="1">AVERAGE(OFFSET($AM$3,0,0,'Données projet'!$E$10+1,1))-AVERAGE(OFFSET($H$3,0,0,'Données projet'!$E$10+1,1))</f>
        <v>381.55743422692029</v>
      </c>
      <c r="AO133" s="59">
        <f t="shared" ref="AO133:AO196" si="144">$AO$3</f>
        <v>360.34132229290537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60.587263679997697</v>
      </c>
      <c r="AV133" s="21">
        <f>EXP(-LN(2)/25)*AV132+(1-EXP(-LN(2)/25))/(LN(2)/25)*Calculateur!AQ133*Calculateur!AS133*VLOOKUP('Données projet'!$B$10,Paramètres!$A$1:$I$89,3,0)*0.475*44/12</f>
        <v>6.2401977783648599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66.827461458362563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-70</v>
      </c>
      <c r="BE133" s="13">
        <f>BD133*VLOOKUP('Données projet'!$B$11,Paramètres!$A$1:$I$89,3,0)*VLOOKUP('Données projet'!$B$11,Paramètres!$A$1:$I$89,5,0)</f>
        <v>-56.783999999999999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99.41315989132292</v>
      </c>
      <c r="BJ133" s="59">
        <f t="shared" ref="BJ133:BJ196" si="146">$BJ$3</f>
        <v>111.63051055870588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12.357319340466804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12.357319340466804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6.4</v>
      </c>
      <c r="N134" s="13">
        <f>IF('Données projet'!$A$36&gt;35,N133+M134-V133,IF(A134&lt;'Données projet'!$A$36,$K$205^A134,IF(A134='Données projet'!$A$36,'Données projet'!$B$36,N133+M134-V133)))</f>
        <v>317.39999999999986</v>
      </c>
      <c r="O134" s="13">
        <f>N134*VLOOKUP('Données projet'!$B$9,Paramètres!$A$1:$I$89,3,0)*VLOOKUP('Données projet'!$B$9,Paramètres!$A$1:$I$89,5,0)</f>
        <v>287.18351999999987</v>
      </c>
      <c r="P134" s="13">
        <f t="shared" si="141"/>
        <v>68.482847789276349</v>
      </c>
      <c r="Q134" s="20">
        <f t="shared" si="108"/>
        <v>619.45225723298938</v>
      </c>
      <c r="R134" s="59">
        <f t="shared" si="109"/>
        <v>903.52600947609517</v>
      </c>
      <c r="S134" s="59">
        <f ca="1">AVERAGE(OFFSET($R$3,0,0,'Données projet'!$E$9+1,1))-AVERAGE(OFFSET($H$3,0,0,'Données projet'!$E$9+1,1))</f>
        <v>474.39725570496114</v>
      </c>
      <c r="T134" s="59">
        <f t="shared" si="142"/>
        <v>196.13536593828755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35.785541309446636</v>
      </c>
      <c r="AA134" s="21">
        <f>EXP(-LN(2)/25)*AA133+(1-EXP(-LN(2)/25))/(LN(2)/25)*Calculateur!V134*Calculateur!X134*VLOOKUP('Données projet'!$B$9,Paramètres!$A$1:$I$89,3,0)*0.475*44/12</f>
        <v>22.863968590744385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58.649509900191021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1.7053025658242404E-13</v>
      </c>
      <c r="AJ134" s="13">
        <f>AI134*VLOOKUP('Données projet'!$B$10,Paramètres!$A$1:$I$89,3,0)*VLOOKUP('Données projet'!$B$10,Paramètres!$A$1:$I$89,5,0)</f>
        <v>1.3301360013429075E-13</v>
      </c>
      <c r="AK134" s="13">
        <f t="shared" si="143"/>
        <v>1.9329766731057041E-12</v>
      </c>
      <c r="AL134" s="20">
        <f t="shared" si="112"/>
        <v>3.5982663925596575E-12</v>
      </c>
      <c r="AM134" s="59">
        <f t="shared" si="113"/>
        <v>284.07375224310931</v>
      </c>
      <c r="AN134" s="59">
        <f ca="1">AVERAGE(OFFSET($AM$3,0,0,'Données projet'!$E$10+1,1))-AVERAGE(OFFSET($H$3,0,0,'Données projet'!$E$10+1,1))</f>
        <v>381.55743422692029</v>
      </c>
      <c r="AO134" s="59">
        <f t="shared" si="144"/>
        <v>360.34132229290537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59.399184393814828</v>
      </c>
      <c r="AV134" s="21">
        <f>EXP(-LN(2)/25)*AV133+(1-EXP(-LN(2)/25))/(LN(2)/25)*Calculateur!AQ134*Calculateur!AS134*VLOOKUP('Données projet'!$B$10,Paramètres!$A$1:$I$89,3,0)*0.475*44/12</f>
        <v>6.0695592419577338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65.468743635772569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-70</v>
      </c>
      <c r="BE134" s="13">
        <f>BD134*VLOOKUP('Données projet'!$B$11,Paramètres!$A$1:$I$89,3,0)*VLOOKUP('Données projet'!$B$11,Paramètres!$A$1:$I$89,5,0)</f>
        <v>-56.783999999999999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99.41315989132292</v>
      </c>
      <c r="BJ134" s="59">
        <f t="shared" si="146"/>
        <v>111.63051055870588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12.114999845420808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12.114999845420808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6.4</v>
      </c>
      <c r="N135" s="13">
        <f>IF('Données projet'!$A$36&gt;35,N134+M135-V134,IF(A135&lt;'Données projet'!$A$36,$K$205^A135,IF(A135='Données projet'!$A$36,'Données projet'!$B$36,N134+M135-V134)))</f>
        <v>323.79999999999984</v>
      </c>
      <c r="O135" s="13">
        <f>N135*VLOOKUP('Données projet'!$B$9,Paramètres!$A$1:$I$89,3,0)*VLOOKUP('Données projet'!$B$9,Paramètres!$A$1:$I$89,5,0)</f>
        <v>292.97423999999984</v>
      </c>
      <c r="P135" s="13">
        <f t="shared" si="141"/>
        <v>69.70156908473075</v>
      </c>
      <c r="Q135" s="20">
        <f t="shared" si="108"/>
        <v>631.66036748923909</v>
      </c>
      <c r="R135" s="59">
        <f t="shared" si="109"/>
        <v>915.8947527629382</v>
      </c>
      <c r="S135" s="59">
        <f ca="1">AVERAGE(OFFSET($R$3,0,0,'Données projet'!$E$9+1,1))-AVERAGE(OFFSET($H$3,0,0,'Données projet'!$E$9+1,1))</f>
        <v>474.39725570496114</v>
      </c>
      <c r="T135" s="59">
        <f t="shared" si="142"/>
        <v>196.13536593828755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35.083808671393349</v>
      </c>
      <c r="AA135" s="21">
        <f>EXP(-LN(2)/25)*AA134+(1-EXP(-LN(2)/25))/(LN(2)/25)*Calculateur!V135*Calculateur!X135*VLOOKUP('Données projet'!$B$9,Paramètres!$A$1:$I$89,3,0)*0.475*44/12</f>
        <v>22.238752167266629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57.322560838659982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1.3301360013429075E-13</v>
      </c>
      <c r="AK135" s="13">
        <f t="shared" si="143"/>
        <v>1.9329766731057041E-12</v>
      </c>
      <c r="AL135" s="20">
        <f t="shared" si="112"/>
        <v>3.5982663925596575E-12</v>
      </c>
      <c r="AM135" s="59">
        <f t="shared" si="113"/>
        <v>284.23438527370274</v>
      </c>
      <c r="AN135" s="59">
        <f ca="1">AVERAGE(OFFSET($AM$3,0,0,'Données projet'!$E$10+1,1))-AVERAGE(OFFSET($H$3,0,0,'Données projet'!$E$10+1,1))</f>
        <v>381.55743422692029</v>
      </c>
      <c r="AO135" s="59">
        <f t="shared" si="144"/>
        <v>360.34132229290537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58.234402617777192</v>
      </c>
      <c r="AV135" s="21">
        <f>EXP(-LN(2)/25)*AV134+(1-EXP(-LN(2)/25))/(LN(2)/25)*Calculateur!AQ135*Calculateur!AS135*VLOOKUP('Données projet'!$B$10,Paramètres!$A$1:$I$89,3,0)*0.475*44/12</f>
        <v>5.9035868253021508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64.137989443079348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-70</v>
      </c>
      <c r="BE135" s="13">
        <f>BD135*VLOOKUP('Données projet'!$B$11,Paramètres!$A$1:$I$89,3,0)*VLOOKUP('Données projet'!$B$11,Paramètres!$A$1:$I$89,5,0)</f>
        <v>-56.783999999999999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99.41315989132292</v>
      </c>
      <c r="BJ135" s="59">
        <f t="shared" si="146"/>
        <v>111.63051055870588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11.877432087872368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11.877432087872368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6.4</v>
      </c>
      <c r="N136" s="13">
        <f>IF('Données projet'!$A$36&gt;35,N135+M136-V135,IF(A136&lt;'Données projet'!$A$36,$K$205^A136,IF(A136='Données projet'!$A$36,'Données projet'!$B$36,N135+M136-V135)))</f>
        <v>330.19999999999982</v>
      </c>
      <c r="O136" s="13">
        <f>N136*VLOOKUP('Données projet'!$B$9,Paramètres!$A$1:$I$89,3,0)*VLOOKUP('Données projet'!$B$9,Paramètres!$A$1:$I$89,5,0)</f>
        <v>298.7649599999998</v>
      </c>
      <c r="P136" s="13">
        <f t="shared" si="141"/>
        <v>70.91748952334126</v>
      </c>
      <c r="Q136" s="20">
        <f t="shared" si="108"/>
        <v>643.86359958648575</v>
      </c>
      <c r="R136" s="59">
        <f t="shared" si="109"/>
        <v>928.25583126681909</v>
      </c>
      <c r="S136" s="59">
        <f ca="1">AVERAGE(OFFSET($R$3,0,0,'Données projet'!$E$9+1,1))-AVERAGE(OFFSET($H$3,0,0,'Données projet'!$E$9+1,1))</f>
        <v>474.39725570496114</v>
      </c>
      <c r="T136" s="59">
        <f t="shared" si="142"/>
        <v>196.13536593828755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34.395836582357639</v>
      </c>
      <c r="AA136" s="21">
        <f>EXP(-LN(2)/25)*AA135+(1-EXP(-LN(2)/25))/(LN(2)/25)*Calculateur!V136*Calculateur!X136*VLOOKUP('Données projet'!$B$9,Paramètres!$A$1:$I$89,3,0)*0.475*44/12</f>
        <v>21.630632319767575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56.026468902125217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1.3301360013429075E-13</v>
      </c>
      <c r="AK136" s="13">
        <f t="shared" si="143"/>
        <v>1.9329766731057041E-12</v>
      </c>
      <c r="AL136" s="20">
        <f t="shared" si="112"/>
        <v>3.5982663925596575E-12</v>
      </c>
      <c r="AM136" s="59">
        <f t="shared" si="113"/>
        <v>284.39223168033698</v>
      </c>
      <c r="AN136" s="59">
        <f ca="1">AVERAGE(OFFSET($AM$3,0,0,'Données projet'!$E$10+1,1))-AVERAGE(OFFSET($H$3,0,0,'Données projet'!$E$10+1,1))</f>
        <v>381.55743422692029</v>
      </c>
      <c r="AO136" s="59">
        <f t="shared" si="144"/>
        <v>360.34132229290537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57.092461501920923</v>
      </c>
      <c r="AV136" s="21">
        <f>EXP(-LN(2)/25)*AV135+(1-EXP(-LN(2)/25))/(LN(2)/25)*Calculateur!AQ136*Calculateur!AS136*VLOOKUP('Données projet'!$B$10,Paramètres!$A$1:$I$89,3,0)*0.475*44/12</f>
        <v>5.7421529331081249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62.834614435029046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-70</v>
      </c>
      <c r="BE136" s="13">
        <f>BD136*VLOOKUP('Données projet'!$B$11,Paramètres!$A$1:$I$89,3,0)*VLOOKUP('Données projet'!$B$11,Paramètres!$A$1:$I$89,5,0)</f>
        <v>-56.783999999999999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99.41315989132292</v>
      </c>
      <c r="BJ136" s="59">
        <f t="shared" si="146"/>
        <v>111.63051055870588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11.644522889147428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11.644522889147428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6.4</v>
      </c>
      <c r="N137" s="13">
        <f>IF('Données projet'!$A$36&gt;35,N136+M137-V136,IF(A137&lt;'Données projet'!$A$36,$K$205^A137,IF(A137='Données projet'!$A$36,'Données projet'!$B$36,N136+M137-V136)))</f>
        <v>336.5999999999998</v>
      </c>
      <c r="O137" s="13">
        <f>N137*VLOOKUP('Données projet'!$B$9,Paramètres!$A$1:$I$89,3,0)*VLOOKUP('Données projet'!$B$9,Paramètres!$A$1:$I$89,5,0)</f>
        <v>304.55567999999982</v>
      </c>
      <c r="P137" s="13">
        <f t="shared" si="141"/>
        <v>72.13066965016597</v>
      </c>
      <c r="Q137" s="20">
        <f t="shared" si="108"/>
        <v>656.06205897403868</v>
      </c>
      <c r="R137" s="59">
        <f t="shared" si="109"/>
        <v>940.60939877874296</v>
      </c>
      <c r="S137" s="59">
        <f ca="1">AVERAGE(OFFSET($R$3,0,0,'Données projet'!$E$9+1,1))-AVERAGE(OFFSET($H$3,0,0,'Données projet'!$E$9+1,1))</f>
        <v>474.39725570496114</v>
      </c>
      <c r="T137" s="59">
        <f t="shared" si="142"/>
        <v>196.13536593828755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33.721355206366376</v>
      </c>
      <c r="AA137" s="21">
        <f>EXP(-LN(2)/25)*AA136+(1-EXP(-LN(2)/25))/(LN(2)/25)*Calculateur!V137*Calculateur!X137*VLOOKUP('Données projet'!$B$9,Paramètres!$A$1:$I$89,3,0)*0.475*44/12</f>
        <v>21.039141541478013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54.760496747844385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1.3301360013429075E-13</v>
      </c>
      <c r="AK137" s="13">
        <f t="shared" si="143"/>
        <v>1.9329766731057041E-12</v>
      </c>
      <c r="AL137" s="20">
        <f t="shared" si="112"/>
        <v>3.5982663925596575E-12</v>
      </c>
      <c r="AM137" s="59">
        <f t="shared" si="113"/>
        <v>284.54733980470786</v>
      </c>
      <c r="AN137" s="59">
        <f ca="1">AVERAGE(OFFSET($AM$3,0,0,'Données projet'!$E$10+1,1))-AVERAGE(OFFSET($H$3,0,0,'Données projet'!$E$10+1,1))</f>
        <v>381.55743422692029</v>
      </c>
      <c r="AO137" s="59">
        <f t="shared" si="144"/>
        <v>360.34132229290537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55.972913154831289</v>
      </c>
      <c r="AV137" s="21">
        <f>EXP(-LN(2)/25)*AV136+(1-EXP(-LN(2)/25))/(LN(2)/25)*Calculateur!AQ137*Calculateur!AS137*VLOOKUP('Données projet'!$B$10,Paramètres!$A$1:$I$89,3,0)*0.475*44/12</f>
        <v>5.5851334591855846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61.558046614016874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-70</v>
      </c>
      <c r="BE137" s="13">
        <f>BD137*VLOOKUP('Données projet'!$B$11,Paramètres!$A$1:$I$89,3,0)*VLOOKUP('Données projet'!$B$11,Paramètres!$A$1:$I$89,5,0)</f>
        <v>-56.783999999999999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99.41315989132292</v>
      </c>
      <c r="BJ137" s="59">
        <f t="shared" si="146"/>
        <v>111.63051055870588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11.4161808977489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11.4161808977489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>
        <f>VLOOKUP(A138,'Données projet'!$A$35:$I$55,2,0)</f>
        <v>343</v>
      </c>
      <c r="L138" s="12">
        <f>VLOOKUP(A138,'Données projet'!$A$35:$I$55,9,0)</f>
        <v>6.4</v>
      </c>
      <c r="M138" s="12">
        <f t="array" ref="M138">INDEX(L:L,MIN(IF(ISNUMBER(L138:L334),ROW(L138:L334),"")))</f>
        <v>6.4</v>
      </c>
      <c r="N138" s="13">
        <f>IF('Données projet'!$A$36&gt;35,N137+M138-V137,IF(A138&lt;'Données projet'!$A$36,$K$205^A138,IF(A138='Données projet'!$A$36,'Données projet'!$B$36,N137+M138-V137)))</f>
        <v>342.99999999999977</v>
      </c>
      <c r="O138" s="13">
        <f>N138*VLOOKUP('Données projet'!$B$9,Paramètres!$A$1:$I$89,3,0)*VLOOKUP('Données projet'!$B$9,Paramètres!$A$1:$I$89,5,0)</f>
        <v>310.34639999999979</v>
      </c>
      <c r="P138" s="13">
        <f t="shared" si="141"/>
        <v>73.341167576152998</v>
      </c>
      <c r="Q138" s="20">
        <f t="shared" si="108"/>
        <v>668.25584686179945</v>
      </c>
      <c r="R138" s="59">
        <f t="shared" si="109"/>
        <v>952.95560401168655</v>
      </c>
      <c r="S138" s="59">
        <f ca="1">AVERAGE(OFFSET($R$3,0,0,'Données projet'!$E$9+1,1))-AVERAGE(OFFSET($H$3,0,0,'Données projet'!$E$9+1,1))</f>
        <v>474.39725570496114</v>
      </c>
      <c r="T138" s="59">
        <f t="shared" si="142"/>
        <v>196.13536593828755</v>
      </c>
      <c r="U138" s="15">
        <f>IF(ISNA(VLOOKUP(A138,'Données projet'!$A$35:$I$55,3,0)),0,VLOOKUP(A138,'Données projet'!$A$35:$I$55,3,0))</f>
        <v>11</v>
      </c>
      <c r="V138" s="15">
        <f>IF(ISNA(VLOOKUP(A138,'Données projet'!$A$35:$I$55,4,0)),0,VLOOKUP(A138,'Données projet'!$A$35:$I$55,4,0))</f>
        <v>50</v>
      </c>
      <c r="W138" s="16">
        <f>IF(ISNA(VLOOKUP(A138,'Données projet'!$A$35:$I$55,5,0)),0%,VLOOKUP(A138,'Données projet'!$A$35:$I$55,5,0)*VLOOKUP('Données projet'!$B$9,Paramètres!$A$1:$I$89,7,0))</f>
        <v>0.215</v>
      </c>
      <c r="X138" s="16">
        <f>IF(ISNA(VLOOKUP(A138,'Données projet'!$A$35:$I$55,6,0)),0%,VLOOKUP(A138,'Données projet'!$A$35:$I$55,6,0)*VLOOKUP('Données projet'!$B$9,Paramètres!$A$1:$I$89,7,0))</f>
        <v>0.17200000000000001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43.812568192330481</v>
      </c>
      <c r="AA138" s="21">
        <f>EXP(-LN(2)/25)*AA137+(1-EXP(-LN(2)/25))/(LN(2)/25)*Calculateur!V138*Calculateur!X138*VLOOKUP('Données projet'!$B$9,Paramètres!$A$1:$I$89,3,0)*0.475*44/12</f>
        <v>29.031930413046364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72.844498605376842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1.3301360013429075E-13</v>
      </c>
      <c r="AK138" s="13">
        <f t="shared" si="143"/>
        <v>1.9329766731057041E-12</v>
      </c>
      <c r="AL138" s="20">
        <f t="shared" si="112"/>
        <v>3.5982663925596575E-12</v>
      </c>
      <c r="AM138" s="59">
        <f t="shared" si="113"/>
        <v>284.69975714989073</v>
      </c>
      <c r="AN138" s="59">
        <f ca="1">AVERAGE(OFFSET($AM$3,0,0,'Données projet'!$E$10+1,1))-AVERAGE(OFFSET($H$3,0,0,'Données projet'!$E$10+1,1))</f>
        <v>381.55743422692029</v>
      </c>
      <c r="AO138" s="59">
        <f t="shared" si="144"/>
        <v>360.34132229290537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54.87531846797102</v>
      </c>
      <c r="AV138" s="21">
        <f>EXP(-LN(2)/25)*AV137+(1-EXP(-LN(2)/25))/(LN(2)/25)*Calculateur!AQ138*Calculateur!AS138*VLOOKUP('Données projet'!$B$10,Paramètres!$A$1:$I$89,3,0)*0.475*44/12</f>
        <v>5.4324076910347507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60.307726159005767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-70</v>
      </c>
      <c r="BE138" s="13">
        <f>BD138*VLOOKUP('Données projet'!$B$11,Paramètres!$A$1:$I$89,3,0)*VLOOKUP('Données projet'!$B$11,Paramètres!$A$1:$I$89,5,0)</f>
        <v>-56.783999999999999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99.41315989132292</v>
      </c>
      <c r="BJ138" s="59">
        <f t="shared" si="146"/>
        <v>111.63051055870588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11.192316553526835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11.192316553526835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7.4</v>
      </c>
      <c r="N139" s="13">
        <f>IF('Données projet'!$A$36&gt;35,N138+M139-V138,IF(A139&lt;'Données projet'!$A$36,$K$205^A139,IF(A139='Données projet'!$A$36,'Données projet'!$B$36,N138+M139-V138)))</f>
        <v>300.39999999999975</v>
      </c>
      <c r="O139" s="13">
        <f>N139*VLOOKUP('Données projet'!$B$9,Paramètres!$A$1:$I$89,3,0)*VLOOKUP('Données projet'!$B$9,Paramètres!$A$1:$I$89,5,0)</f>
        <v>271.80191999999977</v>
      </c>
      <c r="P139" s="13">
        <f t="shared" si="141"/>
        <v>65.231534022367498</v>
      </c>
      <c r="Q139" s="20">
        <f t="shared" si="108"/>
        <v>586.99993242228959</v>
      </c>
      <c r="R139" s="59">
        <f t="shared" si="109"/>
        <v>871.84946281717475</v>
      </c>
      <c r="S139" s="59">
        <f ca="1">AVERAGE(OFFSET($R$3,0,0,'Données projet'!$E$9+1,1))-AVERAGE(OFFSET($H$3,0,0,'Données projet'!$E$9+1,1))</f>
        <v>474.39725570496114</v>
      </c>
      <c r="T139" s="59">
        <f t="shared" si="142"/>
        <v>196.13536593828755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42.953430453106797</v>
      </c>
      <c r="AA139" s="21">
        <f>EXP(-LN(2)/25)*AA138+(1-EXP(-LN(2)/25))/(LN(2)/25)*Calculateur!V139*Calculateur!X139*VLOOKUP('Données projet'!$B$9,Paramètres!$A$1:$I$89,3,0)*0.475*44/12</f>
        <v>28.238050749178743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71.191481202285544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1.3301360013429075E-13</v>
      </c>
      <c r="AK139" s="13">
        <f t="shared" si="143"/>
        <v>1.9329766731057041E-12</v>
      </c>
      <c r="AL139" s="20">
        <f t="shared" si="112"/>
        <v>3.5982663925596575E-12</v>
      </c>
      <c r="AM139" s="59">
        <f t="shared" si="113"/>
        <v>284.8495303948888</v>
      </c>
      <c r="AN139" s="59">
        <f ca="1">AVERAGE(OFFSET($AM$3,0,0,'Données projet'!$E$10+1,1))-AVERAGE(OFFSET($H$3,0,0,'Données projet'!$E$10+1,1))</f>
        <v>381.55743422692029</v>
      </c>
      <c r="AO139" s="59">
        <f t="shared" si="144"/>
        <v>360.34132229290537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53.799246943453426</v>
      </c>
      <c r="AV139" s="21">
        <f>EXP(-LN(2)/25)*AV138+(1-EXP(-LN(2)/25))/(LN(2)/25)*Calculateur!AQ139*Calculateur!AS139*VLOOKUP('Données projet'!$B$10,Paramètres!$A$1:$I$89,3,0)*0.475*44/12</f>
        <v>5.2838582170455011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59.083105160498924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-70</v>
      </c>
      <c r="BE139" s="13">
        <f>BD139*VLOOKUP('Données projet'!$B$11,Paramètres!$A$1:$I$89,3,0)*VLOOKUP('Données projet'!$B$11,Paramètres!$A$1:$I$89,5,0)</f>
        <v>-56.783999999999999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99.41315989132292</v>
      </c>
      <c r="BJ139" s="59">
        <f t="shared" si="146"/>
        <v>111.63051055870588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10.972842052551197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10.972842052551197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7.4</v>
      </c>
      <c r="N140" s="13">
        <f>IF('Données projet'!$A$36&gt;35,N139+M140-V139,IF(A140&lt;'Données projet'!$A$36,$K$205^A140,IF(A140='Données projet'!$A$36,'Données projet'!$B$36,N139+M140-V139)))</f>
        <v>307.79999999999973</v>
      </c>
      <c r="O140" s="13">
        <f>N140*VLOOKUP('Données projet'!$B$9,Paramètres!$A$1:$I$89,3,0)*VLOOKUP('Données projet'!$B$9,Paramètres!$A$1:$I$89,5,0)</f>
        <v>278.49743999999976</v>
      </c>
      <c r="P140" s="13">
        <f t="shared" si="141"/>
        <v>66.649375389445595</v>
      </c>
      <c r="Q140" s="20">
        <f t="shared" si="108"/>
        <v>601.13070346995062</v>
      </c>
      <c r="R140" s="59">
        <f t="shared" si="109"/>
        <v>886.12740887887594</v>
      </c>
      <c r="S140" s="59">
        <f ca="1">AVERAGE(OFFSET($R$3,0,0,'Données projet'!$E$9+1,1))-AVERAGE(OFFSET($H$3,0,0,'Données projet'!$E$9+1,1))</f>
        <v>474.39725570496114</v>
      </c>
      <c r="T140" s="59">
        <f t="shared" si="142"/>
        <v>196.13536593828755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42.111139880927013</v>
      </c>
      <c r="AA140" s="21">
        <f>EXP(-LN(2)/25)*AA139+(1-EXP(-LN(2)/25))/(LN(2)/25)*Calculateur!V140*Calculateur!X140*VLOOKUP('Données projet'!$B$9,Paramètres!$A$1:$I$89,3,0)*0.475*44/12</f>
        <v>27.4658797664679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69.577019647394906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1.3301360013429075E-13</v>
      </c>
      <c r="AK140" s="13">
        <f t="shared" si="143"/>
        <v>1.9329766731057041E-12</v>
      </c>
      <c r="AL140" s="20">
        <f t="shared" si="112"/>
        <v>3.5982663925596575E-12</v>
      </c>
      <c r="AM140" s="59">
        <f t="shared" si="113"/>
        <v>284.99670540892896</v>
      </c>
      <c r="AN140" s="59">
        <f ca="1">AVERAGE(OFFSET($AM$3,0,0,'Données projet'!$E$10+1,1))-AVERAGE(OFFSET($H$3,0,0,'Données projet'!$E$10+1,1))</f>
        <v>381.55743422692029</v>
      </c>
      <c r="AO140" s="59">
        <f t="shared" si="144"/>
        <v>360.34132229290537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52.744276525192795</v>
      </c>
      <c r="AV140" s="21">
        <f>EXP(-LN(2)/25)*AV139+(1-EXP(-LN(2)/25))/(LN(2)/25)*Calculateur!AQ140*Calculateur!AS140*VLOOKUP('Données projet'!$B$10,Paramètres!$A$1:$I$89,3,0)*0.475*44/12</f>
        <v>5.1393708362343649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57.883647361427158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-70</v>
      </c>
      <c r="BE140" s="13">
        <f>BD140*VLOOKUP('Données projet'!$B$11,Paramètres!$A$1:$I$89,3,0)*VLOOKUP('Données projet'!$B$11,Paramètres!$A$1:$I$89,5,0)</f>
        <v>-56.783999999999999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99.41315989132292</v>
      </c>
      <c r="BJ140" s="59">
        <f t="shared" si="146"/>
        <v>111.63051055870588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10.757671312673464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10.757671312673464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7.4</v>
      </c>
      <c r="N141" s="13">
        <f>IF('Données projet'!$A$36&gt;35,N140+M141-V140,IF(A141&lt;'Données projet'!$A$36,$K$205^A141,IF(A141='Données projet'!$A$36,'Données projet'!$B$36,N140+M141-V140)))</f>
        <v>315.1999999999997</v>
      </c>
      <c r="O141" s="13">
        <f>N141*VLOOKUP('Données projet'!$B$9,Paramètres!$A$1:$I$89,3,0)*VLOOKUP('Données projet'!$B$9,Paramètres!$A$1:$I$89,5,0)</f>
        <v>285.19295999999969</v>
      </c>
      <c r="P141" s="13">
        <f t="shared" si="141"/>
        <v>68.06325415489097</v>
      </c>
      <c r="Q141" s="20">
        <f t="shared" si="108"/>
        <v>615.25457298643448</v>
      </c>
      <c r="R141" s="59">
        <f t="shared" si="109"/>
        <v>900.39590025194047</v>
      </c>
      <c r="S141" s="59">
        <f ca="1">AVERAGE(OFFSET($R$3,0,0,'Données projet'!$E$9+1,1))-AVERAGE(OFFSET($H$3,0,0,'Données projet'!$E$9+1,1))</f>
        <v>474.39725570496114</v>
      </c>
      <c r="T141" s="59">
        <f t="shared" si="142"/>
        <v>196.13536593828755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41.28536611312115</v>
      </c>
      <c r="AA141" s="21">
        <f>EXP(-LN(2)/25)*AA140+(1-EXP(-LN(2)/25))/(LN(2)/25)*Calculateur!V141*Calculateur!X141*VLOOKUP('Données projet'!$B$9,Paramètres!$A$1:$I$89,3,0)*0.475*44/12</f>
        <v>26.714823839885991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68.000189953007137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1.3301360013429075E-13</v>
      </c>
      <c r="AK141" s="13">
        <f t="shared" si="143"/>
        <v>1.9329766731057041E-12</v>
      </c>
      <c r="AL141" s="20">
        <f t="shared" si="112"/>
        <v>3.5982663925596575E-12</v>
      </c>
      <c r="AM141" s="59">
        <f t="shared" si="113"/>
        <v>285.14132726550952</v>
      </c>
      <c r="AN141" s="59">
        <f ca="1">AVERAGE(OFFSET($AM$3,0,0,'Données projet'!$E$10+1,1))-AVERAGE(OFFSET($H$3,0,0,'Données projet'!$E$10+1,1))</f>
        <v>381.55743422692029</v>
      </c>
      <c r="AO141" s="59">
        <f t="shared" si="144"/>
        <v>360.34132229290537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51.709993433365838</v>
      </c>
      <c r="AV141" s="21">
        <f>EXP(-LN(2)/25)*AV140+(1-EXP(-LN(2)/25))/(LN(2)/25)*Calculateur!AQ141*Calculateur!AS141*VLOOKUP('Données projet'!$B$10,Paramètres!$A$1:$I$89,3,0)*0.475*44/12</f>
        <v>4.9988344704497703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56.70882790381561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-70</v>
      </c>
      <c r="BE141" s="13">
        <f>BD141*VLOOKUP('Données projet'!$B$11,Paramètres!$A$1:$I$89,3,0)*VLOOKUP('Données projet'!$B$11,Paramètres!$A$1:$I$89,5,0)</f>
        <v>-56.783999999999999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99.41315989132292</v>
      </c>
      <c r="BJ141" s="59">
        <f t="shared" si="146"/>
        <v>111.63051055870588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10.546719939763541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10.546719939763541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7.4</v>
      </c>
      <c r="N142" s="13">
        <f>IF('Données projet'!$A$36&gt;35,N141+M142-V141,IF(A142&lt;'Données projet'!$A$36,$K$205^A142,IF(A142='Données projet'!$A$36,'Données projet'!$B$36,N141+M142-V141)))</f>
        <v>322.59999999999968</v>
      </c>
      <c r="O142" s="13">
        <f>N142*VLOOKUP('Données projet'!$B$9,Paramètres!$A$1:$I$89,3,0)*VLOOKUP('Données projet'!$B$9,Paramètres!$A$1:$I$89,5,0)</f>
        <v>291.88847999999973</v>
      </c>
      <c r="P142" s="13">
        <f t="shared" si="141"/>
        <v>69.473274055573441</v>
      </c>
      <c r="Q142" s="20">
        <f t="shared" si="108"/>
        <v>629.37172164678998</v>
      </c>
      <c r="R142" s="59">
        <f t="shared" si="109"/>
        <v>914.65516190299081</v>
      </c>
      <c r="S142" s="59">
        <f ca="1">AVERAGE(OFFSET($R$3,0,0,'Données projet'!$E$9+1,1))-AVERAGE(OFFSET($H$3,0,0,'Données projet'!$E$9+1,1))</f>
        <v>474.39725570496114</v>
      </c>
      <c r="T142" s="59">
        <f t="shared" si="142"/>
        <v>196.13536593828755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40.475785265229696</v>
      </c>
      <c r="AA142" s="21">
        <f>EXP(-LN(2)/25)*AA141+(1-EXP(-LN(2)/25))/(LN(2)/25)*Calculateur!V142*Calculateur!X142*VLOOKUP('Données projet'!$B$9,Paramètres!$A$1:$I$89,3,0)*0.475*44/12</f>
        <v>25.984305577112782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66.460090842342481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1.3301360013429075E-13</v>
      </c>
      <c r="AK142" s="13">
        <f t="shared" si="143"/>
        <v>1.9329766731057041E-12</v>
      </c>
      <c r="AL142" s="20">
        <f t="shared" si="112"/>
        <v>3.5982663925596575E-12</v>
      </c>
      <c r="AM142" s="59">
        <f t="shared" si="113"/>
        <v>285.28344025620447</v>
      </c>
      <c r="AN142" s="59">
        <f ca="1">AVERAGE(OFFSET($AM$3,0,0,'Données projet'!$E$10+1,1))-AVERAGE(OFFSET($H$3,0,0,'Données projet'!$E$10+1,1))</f>
        <v>381.55743422692029</v>
      </c>
      <c r="AO142" s="59">
        <f t="shared" si="144"/>
        <v>360.34132229290537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50.695992002119212</v>
      </c>
      <c r="AV142" s="21">
        <f>EXP(-LN(2)/25)*AV141+(1-EXP(-LN(2)/25))/(LN(2)/25)*Calculateur!AQ142*Calculateur!AS142*VLOOKUP('Données projet'!$B$10,Paramètres!$A$1:$I$89,3,0)*0.475*44/12</f>
        <v>4.8621410789780413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55.558133081097253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-70</v>
      </c>
      <c r="BE142" s="13">
        <f>BD142*VLOOKUP('Données projet'!$B$11,Paramètres!$A$1:$I$89,3,0)*VLOOKUP('Données projet'!$B$11,Paramètres!$A$1:$I$89,5,0)</f>
        <v>-56.783999999999999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99.41315989132292</v>
      </c>
      <c r="BJ142" s="59">
        <f t="shared" si="146"/>
        <v>111.63051055870588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10.339905194608749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10.339905194608749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7.4</v>
      </c>
      <c r="N143" s="13">
        <f>IF('Données projet'!$A$36&gt;35,N142+M143-V142,IF(A143&lt;'Données projet'!$A$36,$K$205^A143,IF(A143='Données projet'!$A$36,'Données projet'!$B$36,N142+M143-V142)))</f>
        <v>329.99999999999966</v>
      </c>
      <c r="O143" s="13">
        <f>N143*VLOOKUP('Données projet'!$B$9,Paramètres!$A$1:$I$89,3,0)*VLOOKUP('Données projet'!$B$9,Paramètres!$A$1:$I$89,5,0)</f>
        <v>298.58399999999966</v>
      </c>
      <c r="P143" s="13">
        <f t="shared" si="141"/>
        <v>70.879533797607536</v>
      </c>
      <c r="Q143" s="20">
        <f t="shared" si="108"/>
        <v>643.48232136416584</v>
      </c>
      <c r="R143" s="59">
        <f t="shared" si="109"/>
        <v>928.90540926839026</v>
      </c>
      <c r="S143" s="59">
        <f ca="1">AVERAGE(OFFSET($R$3,0,0,'Données projet'!$E$9+1,1))-AVERAGE(OFFSET($H$3,0,0,'Données projet'!$E$9+1,1))</f>
        <v>474.39725570496114</v>
      </c>
      <c r="T143" s="59">
        <f t="shared" si="142"/>
        <v>196.13536593828755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39.682079803969835</v>
      </c>
      <c r="AA143" s="21">
        <f>EXP(-LN(2)/25)*AA142+(1-EXP(-LN(2)/25))/(LN(2)/25)*Calculateur!V143*Calculateur!X143*VLOOKUP('Données projet'!$B$9,Paramètres!$A$1:$I$89,3,0)*0.475*44/12</f>
        <v>25.273763374651391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64.955843178621222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1.3301360013429075E-13</v>
      </c>
      <c r="AK143" s="13">
        <f t="shared" si="143"/>
        <v>1.9329766731057041E-12</v>
      </c>
      <c r="AL143" s="20">
        <f t="shared" si="112"/>
        <v>3.5982663925596575E-12</v>
      </c>
      <c r="AM143" s="59">
        <f t="shared" si="113"/>
        <v>285.42308790422794</v>
      </c>
      <c r="AN143" s="59">
        <f ca="1">AVERAGE(OFFSET($AM$3,0,0,'Données projet'!$E$10+1,1))-AVERAGE(OFFSET($H$3,0,0,'Données projet'!$E$10+1,1))</f>
        <v>381.55743422692029</v>
      </c>
      <c r="AO143" s="59">
        <f t="shared" si="144"/>
        <v>360.34132229290537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49.701874520459533</v>
      </c>
      <c r="AV143" s="21">
        <f>EXP(-LN(2)/25)*AV142+(1-EXP(-LN(2)/25))/(LN(2)/25)*Calculateur!AQ143*Calculateur!AS143*VLOOKUP('Données projet'!$B$10,Paramètres!$A$1:$I$89,3,0)*0.475*44/12</f>
        <v>4.7291855754845002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54.431060095944034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-70</v>
      </c>
      <c r="BE143" s="13">
        <f>BD143*VLOOKUP('Données projet'!$B$11,Paramètres!$A$1:$I$89,3,0)*VLOOKUP('Données projet'!$B$11,Paramètres!$A$1:$I$89,5,0)</f>
        <v>-56.783999999999999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99.41315989132292</v>
      </c>
      <c r="BJ143" s="59">
        <f t="shared" si="146"/>
        <v>111.63051055870588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10.137145960461902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10.137145960461902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7.4</v>
      </c>
      <c r="N144" s="13">
        <f>IF('Données projet'!$A$36&gt;35,N143+M144-V143,IF(A144&lt;'Données projet'!$A$36,$K$205^A144,IF(A144='Données projet'!$A$36,'Données projet'!$B$36,N143+M144-V143)))</f>
        <v>337.39999999999964</v>
      </c>
      <c r="O144" s="13">
        <f>N144*VLOOKUP('Données projet'!$B$9,Paramètres!$A$1:$I$89,3,0)*VLOOKUP('Données projet'!$B$9,Paramètres!$A$1:$I$89,5,0)</f>
        <v>305.27951999999965</v>
      </c>
      <c r="P144" s="13">
        <f t="shared" si="141"/>
        <v>72.282127407576738</v>
      </c>
      <c r="Q144" s="20">
        <f t="shared" si="108"/>
        <v>657.58653590152892</v>
      </c>
      <c r="R144" s="59">
        <f t="shared" si="109"/>
        <v>943.14684887928888</v>
      </c>
      <c r="S144" s="59">
        <f ca="1">AVERAGE(OFFSET($R$3,0,0,'Données projet'!$E$9+1,1))-AVERAGE(OFFSET($H$3,0,0,'Données projet'!$E$9+1,1))</f>
        <v>474.39725570496114</v>
      </c>
      <c r="T144" s="59">
        <f t="shared" si="142"/>
        <v>196.13536593828755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38.903938422692754</v>
      </c>
      <c r="AA144" s="21">
        <f>EXP(-LN(2)/25)*AA143+(1-EXP(-LN(2)/25))/(LN(2)/25)*Calculateur!V144*Calculateur!X144*VLOOKUP('Données projet'!$B$9,Paramètres!$A$1:$I$89,3,0)*0.475*44/12</f>
        <v>24.582650986082097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63.486589408774847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1.3301360013429075E-13</v>
      </c>
      <c r="AK144" s="13">
        <f t="shared" si="143"/>
        <v>1.9329766731057041E-12</v>
      </c>
      <c r="AL144" s="20">
        <f t="shared" si="112"/>
        <v>3.5982663925596575E-12</v>
      </c>
      <c r="AM144" s="59">
        <f t="shared" si="113"/>
        <v>285.5603129777636</v>
      </c>
      <c r="AN144" s="59">
        <f ca="1">AVERAGE(OFFSET($AM$3,0,0,'Données projet'!$E$10+1,1))-AVERAGE(OFFSET($H$3,0,0,'Données projet'!$E$10+1,1))</f>
        <v>381.55743422692029</v>
      </c>
      <c r="AO144" s="59">
        <f t="shared" si="144"/>
        <v>360.34132229290537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48.727251076263407</v>
      </c>
      <c r="AV144" s="21">
        <f>EXP(-LN(2)/25)*AV143+(1-EXP(-LN(2)/25))/(LN(2)/25)*Calculateur!AQ144*Calculateur!AS144*VLOOKUP('Données projet'!$B$10,Paramètres!$A$1:$I$89,3,0)*0.475*44/12</f>
        <v>4.5998657472258158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53.32711682348922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-70</v>
      </c>
      <c r="BE144" s="13">
        <f>BD144*VLOOKUP('Données projet'!$B$11,Paramètres!$A$1:$I$89,3,0)*VLOOKUP('Données projet'!$B$11,Paramètres!$A$1:$I$89,5,0)</f>
        <v>-56.783999999999999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99.41315989132292</v>
      </c>
      <c r="BJ144" s="59">
        <f t="shared" si="146"/>
        <v>111.63051055870588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9.9383627112257553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9.9383627112257553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7.4</v>
      </c>
      <c r="N145" s="13">
        <f>IF('Données projet'!$A$36&gt;35,N144+M145-V144,IF(A145&lt;'Données projet'!$A$36,$K$205^A145,IF(A145='Données projet'!$A$36,'Données projet'!$B$36,N144+M145-V144)))</f>
        <v>344.79999999999961</v>
      </c>
      <c r="O145" s="13">
        <f>N145*VLOOKUP('Données projet'!$B$9,Paramètres!$A$1:$I$89,3,0)*VLOOKUP('Données projet'!$B$9,Paramètres!$A$1:$I$89,5,0)</f>
        <v>311.97503999999964</v>
      </c>
      <c r="P145" s="13">
        <f t="shared" si="141"/>
        <v>73.681144552074542</v>
      </c>
      <c r="Q145" s="20">
        <f t="shared" si="108"/>
        <v>671.68452142819592</v>
      </c>
      <c r="R145" s="59">
        <f t="shared" si="109"/>
        <v>957.37967893125506</v>
      </c>
      <c r="S145" s="59">
        <f ca="1">AVERAGE(OFFSET($R$3,0,0,'Données projet'!$E$9+1,1))-AVERAGE(OFFSET($H$3,0,0,'Données projet'!$E$9+1,1))</f>
        <v>474.39725570496114</v>
      </c>
      <c r="T145" s="59">
        <f t="shared" si="142"/>
        <v>196.13536593828755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38.14105591928314</v>
      </c>
      <c r="AA145" s="21">
        <f>EXP(-LN(2)/25)*AA144+(1-EXP(-LN(2)/25))/(LN(2)/25)*Calculateur!V145*Calculateur!X145*VLOOKUP('Données projet'!$B$9,Paramètres!$A$1:$I$89,3,0)*0.475*44/12</f>
        <v>23.910437102122252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62.051493021405392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1.3301360013429075E-13</v>
      </c>
      <c r="AK145" s="13">
        <f t="shared" si="143"/>
        <v>1.9329766731057041E-12</v>
      </c>
      <c r="AL145" s="20">
        <f t="shared" si="112"/>
        <v>3.5982663925596575E-12</v>
      </c>
      <c r="AM145" s="59">
        <f t="shared" si="113"/>
        <v>285.69515750306266</v>
      </c>
      <c r="AN145" s="59">
        <f ca="1">AVERAGE(OFFSET($AM$3,0,0,'Données projet'!$E$10+1,1))-AVERAGE(OFFSET($H$3,0,0,'Données projet'!$E$10+1,1))</f>
        <v>381.55743422692029</v>
      </c>
      <c r="AO145" s="59">
        <f t="shared" si="144"/>
        <v>360.34132229290537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47.771739403346366</v>
      </c>
      <c r="AV145" s="21">
        <f>EXP(-LN(2)/25)*AV144+(1-EXP(-LN(2)/25))/(LN(2)/25)*Calculateur!AQ145*Calculateur!AS145*VLOOKUP('Données projet'!$B$10,Paramètres!$A$1:$I$89,3,0)*0.475*44/12</f>
        <v>4.4740821764714997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52.245821579817864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-70</v>
      </c>
      <c r="BE145" s="13">
        <f>BD145*VLOOKUP('Données projet'!$B$11,Paramètres!$A$1:$I$89,3,0)*VLOOKUP('Données projet'!$B$11,Paramètres!$A$1:$I$89,5,0)</f>
        <v>-56.783999999999999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99.41315989132292</v>
      </c>
      <c r="BJ145" s="59">
        <f t="shared" si="146"/>
        <v>111.63051055870588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9.7434774802613191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9.7434774802613191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7.4</v>
      </c>
      <c r="N146" s="13">
        <f>IF('Données projet'!$A$36&gt;35,N145+M146-V145,IF(A146&lt;'Données projet'!$A$36,$K$205^A146,IF(A146='Données projet'!$A$36,'Données projet'!$B$36,N145+M146-V145)))</f>
        <v>352.19999999999959</v>
      </c>
      <c r="O146" s="13">
        <f>N146*VLOOKUP('Données projet'!$B$9,Paramètres!$A$1:$I$89,3,0)*VLOOKUP('Données projet'!$B$9,Paramètres!$A$1:$I$89,5,0)</f>
        <v>318.67055999999963</v>
      </c>
      <c r="P146" s="13">
        <f t="shared" si="141"/>
        <v>75.076670829041049</v>
      </c>
      <c r="Q146" s="20">
        <f t="shared" si="108"/>
        <v>685.77642702724586</v>
      </c>
      <c r="R146" s="59">
        <f t="shared" si="109"/>
        <v>971.60408980455736</v>
      </c>
      <c r="S146" s="59">
        <f ca="1">AVERAGE(OFFSET($R$3,0,0,'Données projet'!$E$9+1,1))-AVERAGE(OFFSET($H$3,0,0,'Données projet'!$E$9+1,1))</f>
        <v>474.39725570496114</v>
      </c>
      <c r="T146" s="59">
        <f t="shared" si="142"/>
        <v>196.13536593828755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37.393133076453005</v>
      </c>
      <c r="AA146" s="21">
        <f>EXP(-LN(2)/25)*AA145+(1-EXP(-LN(2)/25))/(LN(2)/25)*Calculateur!V146*Calculateur!X146*VLOOKUP('Données projet'!$B$9,Paramètres!$A$1:$I$89,3,0)*0.475*44/12</f>
        <v>23.256604942169481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60.649738018622486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1.3301360013429075E-13</v>
      </c>
      <c r="AK146" s="13">
        <f t="shared" si="143"/>
        <v>1.9329766731057041E-12</v>
      </c>
      <c r="AL146" s="20">
        <f t="shared" si="112"/>
        <v>3.5982663925596575E-12</v>
      </c>
      <c r="AM146" s="59">
        <f t="shared" si="113"/>
        <v>285.82766277731503</v>
      </c>
      <c r="AN146" s="59">
        <f ca="1">AVERAGE(OFFSET($AM$3,0,0,'Données projet'!$E$10+1,1))-AVERAGE(OFFSET($H$3,0,0,'Données projet'!$E$10+1,1))</f>
        <v>381.55743422692029</v>
      </c>
      <c r="AO146" s="59">
        <f t="shared" si="144"/>
        <v>360.34132229290537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46.834964731530654</v>
      </c>
      <c r="AV146" s="21">
        <f>EXP(-LN(2)/25)*AV145+(1-EXP(-LN(2)/25))/(LN(2)/25)*Calculateur!AQ146*Calculateur!AS146*VLOOKUP('Données projet'!$B$10,Paramètres!$A$1:$I$89,3,0)*0.475*44/12</f>
        <v>4.3517381640741304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51.186702895604782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-70</v>
      </c>
      <c r="BE146" s="13">
        <f>BD146*VLOOKUP('Données projet'!$B$11,Paramètres!$A$1:$I$89,3,0)*VLOOKUP('Données projet'!$B$11,Paramètres!$A$1:$I$89,5,0)</f>
        <v>-56.783999999999999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99.41315989132292</v>
      </c>
      <c r="BJ146" s="59">
        <f t="shared" si="146"/>
        <v>111.63051055870588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9.5524138298078416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9.5524138298078416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7.4</v>
      </c>
      <c r="N147" s="13">
        <f>IF('Données projet'!$A$36&gt;35,N146+M147-V146,IF(A147&lt;'Données projet'!$A$36,$K$205^A147,IF(A147='Données projet'!$A$36,'Données projet'!$B$36,N146+M147-V146)))</f>
        <v>359.59999999999957</v>
      </c>
      <c r="O147" s="13">
        <f>N147*VLOOKUP('Données projet'!$B$9,Paramètres!$A$1:$I$89,3,0)*VLOOKUP('Données projet'!$B$9,Paramètres!$A$1:$I$89,5,0)</f>
        <v>325.36607999999961</v>
      </c>
      <c r="P147" s="13">
        <f t="shared" si="141"/>
        <v>76.46878803392363</v>
      </c>
      <c r="Q147" s="20">
        <f t="shared" si="108"/>
        <v>699.86239515908301</v>
      </c>
      <c r="R147" s="59">
        <f t="shared" si="109"/>
        <v>985.82026454037589</v>
      </c>
      <c r="S147" s="59">
        <f ca="1">AVERAGE(OFFSET($R$3,0,0,'Données projet'!$E$9+1,1))-AVERAGE(OFFSET($H$3,0,0,'Données projet'!$E$9+1,1))</f>
        <v>474.39725570496114</v>
      </c>
      <c r="T147" s="59">
        <f t="shared" si="142"/>
        <v>196.13536593828755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36.659876544382875</v>
      </c>
      <c r="AA147" s="21">
        <f>EXP(-LN(2)/25)*AA146+(1-EXP(-LN(2)/25))/(LN(2)/25)*Calculateur!V147*Calculateur!X147*VLOOKUP('Données projet'!$B$9,Paramètres!$A$1:$I$89,3,0)*0.475*44/12</f>
        <v>22.620651857014156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59.280528401397035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1.3301360013429075E-13</v>
      </c>
      <c r="AK147" s="13">
        <f t="shared" si="143"/>
        <v>1.9329766731057041E-12</v>
      </c>
      <c r="AL147" s="20">
        <f t="shared" si="112"/>
        <v>3.5982663925596575E-12</v>
      </c>
      <c r="AM147" s="59">
        <f t="shared" si="113"/>
        <v>285.95786938129646</v>
      </c>
      <c r="AN147" s="59">
        <f ca="1">AVERAGE(OFFSET($AM$3,0,0,'Données projet'!$E$10+1,1))-AVERAGE(OFFSET($H$3,0,0,'Données projet'!$E$10+1,1))</f>
        <v>381.55743422692029</v>
      </c>
      <c r="AO147" s="59">
        <f t="shared" si="144"/>
        <v>360.34132229290537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45.916559639653116</v>
      </c>
      <c r="AV147" s="21">
        <f>EXP(-LN(2)/25)*AV146+(1-EXP(-LN(2)/25))/(LN(2)/25)*Calculateur!AQ147*Calculateur!AS147*VLOOKUP('Données projet'!$B$10,Paramètres!$A$1:$I$89,3,0)*0.475*44/12</f>
        <v>4.2327396551295591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50.149299294782672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-70</v>
      </c>
      <c r="BE147" s="13">
        <f>BD147*VLOOKUP('Données projet'!$B$11,Paramètres!$A$1:$I$89,3,0)*VLOOKUP('Données projet'!$B$11,Paramètres!$A$1:$I$89,5,0)</f>
        <v>-56.783999999999999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99.41315989132292</v>
      </c>
      <c r="BJ147" s="59">
        <f t="shared" si="146"/>
        <v>111.63051055870588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9.365096821002437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9.365096821002437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>
        <f>VLOOKUP(A148,'Données projet'!$A$35:$I$55,2,0)</f>
        <v>367</v>
      </c>
      <c r="L148" s="12">
        <f>VLOOKUP(A148,'Données projet'!$A$35:$I$55,9,0)</f>
        <v>7.4</v>
      </c>
      <c r="M148" s="12">
        <f t="array" ref="M148">INDEX(L:L,MIN(IF(ISNUMBER(L148:L344),ROW(L148:L344),"")))</f>
        <v>7.4</v>
      </c>
      <c r="N148" s="13">
        <f>IF('Données projet'!$A$36&gt;35,N147+M148-V147,IF(A148&lt;'Données projet'!$A$36,$K$205^A148,IF(A148='Données projet'!$A$36,'Données projet'!$B$36,N147+M148-V147)))</f>
        <v>366.99999999999955</v>
      </c>
      <c r="O148" s="13">
        <f>N148*VLOOKUP('Données projet'!$B$9,Paramètres!$A$1:$I$89,3,0)*VLOOKUP('Données projet'!$B$9,Paramètres!$A$1:$I$89,5,0)</f>
        <v>332.0615999999996</v>
      </c>
      <c r="P148" s="13">
        <f t="shared" si="141"/>
        <v>77.857574403309357</v>
      </c>
      <c r="Q148" s="20">
        <f t="shared" si="108"/>
        <v>713.94256208576314</v>
      </c>
      <c r="R148" s="59">
        <f t="shared" si="109"/>
        <v>1000.0283792775567</v>
      </c>
      <c r="S148" s="59">
        <f ca="1">AVERAGE(OFFSET($R$3,0,0,'Données projet'!$E$9+1,1))-AVERAGE(OFFSET($H$3,0,0,'Données projet'!$E$9+1,1))</f>
        <v>474.39725570496114</v>
      </c>
      <c r="T148" s="59">
        <f t="shared" si="142"/>
        <v>196.13536593828755</v>
      </c>
      <c r="U148" s="15">
        <f>IF(ISNA(VLOOKUP(A148,'Données projet'!$A$35:$I$55,3,0)),0,VLOOKUP(A148,'Données projet'!$A$35:$I$55,3,0))</f>
        <v>12</v>
      </c>
      <c r="V148" s="15">
        <f>IF(ISNA(VLOOKUP(A148,'Données projet'!$A$35:$I$55,4,0)),0,VLOOKUP(A148,'Données projet'!$A$35:$I$55,4,0))</f>
        <v>44</v>
      </c>
      <c r="W148" s="16">
        <f>IF(ISNA(VLOOKUP(A148,'Données projet'!$A$35:$I$55,5,0)),0%,VLOOKUP(A148,'Données projet'!$A$35:$I$55,5,0)*VLOOKUP('Données projet'!$B$9,Paramètres!$A$1:$I$89,7,0))</f>
        <v>0.215</v>
      </c>
      <c r="X148" s="16">
        <f>IF(ISNA(VLOOKUP(A148,'Données projet'!$A$35:$I$55,6,0)),0%,VLOOKUP(A148,'Données projet'!$A$35:$I$55,6,0)*VLOOKUP('Données projet'!$B$9,Paramètres!$A$1:$I$89,7,0))</f>
        <v>0.17200000000000001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45.403170736001691</v>
      </c>
      <c r="AA148" s="21">
        <f>EXP(-LN(2)/25)*AA147+(1-EXP(-LN(2)/25))/(LN(2)/25)*Calculateur!V148*Calculateur!X148*VLOOKUP('Données projet'!$B$9,Paramètres!$A$1:$I$89,3,0)*0.475*44/12</f>
        <v>29.54202160942571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74.945192345427401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1.3301360013429075E-13</v>
      </c>
      <c r="AK148" s="13">
        <f t="shared" si="143"/>
        <v>1.9329766731057041E-12</v>
      </c>
      <c r="AL148" s="20">
        <f t="shared" si="112"/>
        <v>3.5982663925596575E-12</v>
      </c>
      <c r="AM148" s="59">
        <f t="shared" si="113"/>
        <v>286.08581719179716</v>
      </c>
      <c r="AN148" s="59">
        <f ca="1">AVERAGE(OFFSET($AM$3,0,0,'Données projet'!$E$10+1,1))-AVERAGE(OFFSET($H$3,0,0,'Données projet'!$E$10+1,1))</f>
        <v>381.55743422692029</v>
      </c>
      <c r="AO148" s="59">
        <f t="shared" si="144"/>
        <v>360.34132229290537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45.0161639114555</v>
      </c>
      <c r="AV148" s="21">
        <f>EXP(-LN(2)/25)*AV147+(1-EXP(-LN(2)/25))/(LN(2)/25)*Calculateur!AQ148*Calculateur!AS148*VLOOKUP('Données projet'!$B$10,Paramètres!$A$1:$I$89,3,0)*0.475*44/12</f>
        <v>4.1169951666699367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49.133159078125438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-70</v>
      </c>
      <c r="BE148" s="13">
        <f>BD148*VLOOKUP('Données projet'!$B$11,Paramètres!$A$1:$I$89,3,0)*VLOOKUP('Données projet'!$B$11,Paramètres!$A$1:$I$89,5,0)</f>
        <v>-56.783999999999999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99.41315989132292</v>
      </c>
      <c r="BJ148" s="59">
        <f t="shared" si="146"/>
        <v>111.63051055870588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9.1814529844876134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9.1814529844876134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6.1</v>
      </c>
      <c r="N149" s="13">
        <f>IF('Données projet'!$A$36&gt;35,N148+M149-V148,IF(A149&lt;'Données projet'!$A$36,$K$205^A149,IF(A149='Données projet'!$A$36,'Données projet'!$B$36,N148+M149-V148)))</f>
        <v>329.09999999999957</v>
      </c>
      <c r="O149" s="13">
        <f>N149*VLOOKUP('Données projet'!$B$9,Paramètres!$A$1:$I$89,3,0)*VLOOKUP('Données projet'!$B$9,Paramètres!$A$1:$I$89,5,0)</f>
        <v>297.7696799999996</v>
      </c>
      <c r="P149" s="13">
        <f t="shared" si="141"/>
        <v>70.708699869091816</v>
      </c>
      <c r="Q149" s="20">
        <f t="shared" si="108"/>
        <v>641.76651160533413</v>
      </c>
      <c r="R149" s="59">
        <f t="shared" si="109"/>
        <v>927.97805699916478</v>
      </c>
      <c r="S149" s="59">
        <f ca="1">AVERAGE(OFFSET($R$3,0,0,'Données projet'!$E$9+1,1))-AVERAGE(OFFSET($H$3,0,0,'Données projet'!$E$9+1,1))</f>
        <v>474.39725570496114</v>
      </c>
      <c r="T149" s="59">
        <f t="shared" si="142"/>
        <v>196.13536593828755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44.512842251068371</v>
      </c>
      <c r="AA149" s="21">
        <f>EXP(-LN(2)/25)*AA148+(1-EXP(-LN(2)/25))/(LN(2)/25)*Calculateur!V149*Calculateur!X149*VLOOKUP('Données projet'!$B$9,Paramètres!$A$1:$I$89,3,0)*0.475*44/12</f>
        <v>28.734193474968567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73.247035726036941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1.3301360013429075E-13</v>
      </c>
      <c r="AK149" s="13">
        <f t="shared" si="143"/>
        <v>1.9329766731057041E-12</v>
      </c>
      <c r="AL149" s="20">
        <f t="shared" si="112"/>
        <v>3.5982663925596575E-12</v>
      </c>
      <c r="AM149" s="59">
        <f t="shared" si="113"/>
        <v>286.21154539383423</v>
      </c>
      <c r="AN149" s="59">
        <f ca="1">AVERAGE(OFFSET($AM$3,0,0,'Données projet'!$E$10+1,1))-AVERAGE(OFFSET($H$3,0,0,'Données projet'!$E$10+1,1))</f>
        <v>381.55743422692029</v>
      </c>
      <c r="AO149" s="59">
        <f t="shared" si="144"/>
        <v>360.34132229290537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44.133424394300675</v>
      </c>
      <c r="AV149" s="21">
        <f>EXP(-LN(2)/25)*AV148+(1-EXP(-LN(2)/25))/(LN(2)/25)*Calculateur!AQ149*Calculateur!AS149*VLOOKUP('Données projet'!$B$10,Paramètres!$A$1:$I$89,3,0)*0.475*44/12</f>
        <v>4.0044157173339814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48.137840111634659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-70</v>
      </c>
      <c r="BE149" s="13">
        <f>BD149*VLOOKUP('Données projet'!$B$11,Paramètres!$A$1:$I$89,3,0)*VLOOKUP('Données projet'!$B$11,Paramètres!$A$1:$I$89,5,0)</f>
        <v>-56.783999999999999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99.41315989132292</v>
      </c>
      <c r="BJ149" s="59">
        <f t="shared" si="146"/>
        <v>111.63051055870588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9.0014102915951639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9.0014102915951639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6.1</v>
      </c>
      <c r="N150" s="13">
        <f>IF('Données projet'!$A$36&gt;35,N149+M150-V149,IF(A150&lt;'Données projet'!$A$36,$K$205^A150,IF(A150='Données projet'!$A$36,'Données projet'!$B$36,N149+M150-V149)))</f>
        <v>335.19999999999959</v>
      </c>
      <c r="O150" s="13">
        <f>N150*VLOOKUP('Données projet'!$B$9,Paramètres!$A$1:$I$89,3,0)*VLOOKUP('Données projet'!$B$9,Paramètres!$A$1:$I$89,5,0)</f>
        <v>303.28895999999963</v>
      </c>
      <c r="P150" s="13">
        <f t="shared" si="141"/>
        <v>71.865517670261568</v>
      </c>
      <c r="Q150" s="20">
        <f t="shared" si="108"/>
        <v>653.39404860903824</v>
      </c>
      <c r="R150" s="59">
        <f t="shared" si="109"/>
        <v>939.72914110168665</v>
      </c>
      <c r="S150" s="59">
        <f ca="1">AVERAGE(OFFSET($R$3,0,0,'Données projet'!$E$9+1,1))-AVERAGE(OFFSET($H$3,0,0,'Données projet'!$E$9+1,1))</f>
        <v>474.39725570496114</v>
      </c>
      <c r="T150" s="59">
        <f t="shared" si="142"/>
        <v>196.13536593828755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43.639972564677841</v>
      </c>
      <c r="AA150" s="21">
        <f>EXP(-LN(2)/25)*AA149+(1-EXP(-LN(2)/25))/(LN(2)/25)*Calculateur!V150*Calculateur!X150*VLOOKUP('Données projet'!$B$9,Paramètres!$A$1:$I$89,3,0)*0.475*44/12</f>
        <v>27.948455443329991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71.588428008007838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1.3301360013429075E-13</v>
      </c>
      <c r="AK150" s="13">
        <f t="shared" si="143"/>
        <v>1.9329766731057041E-12</v>
      </c>
      <c r="AL150" s="20">
        <f t="shared" si="112"/>
        <v>3.5982663925596575E-12</v>
      </c>
      <c r="AM150" s="59">
        <f t="shared" si="113"/>
        <v>286.335092492652</v>
      </c>
      <c r="AN150" s="59">
        <f ca="1">AVERAGE(OFFSET($AM$3,0,0,'Données projet'!$E$10+1,1))-AVERAGE(OFFSET($H$3,0,0,'Données projet'!$E$10+1,1))</f>
        <v>381.55743422692029</v>
      </c>
      <c r="AO150" s="59">
        <f t="shared" si="144"/>
        <v>360.34132229290537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43.267994860659314</v>
      </c>
      <c r="AV150" s="21">
        <f>EXP(-LN(2)/25)*AV149+(1-EXP(-LN(2)/25))/(LN(2)/25)*Calculateur!AQ150*Calculateur!AS150*VLOOKUP('Données projet'!$B$10,Paramètres!$A$1:$I$89,3,0)*0.475*44/12</f>
        <v>3.8949147589604132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47.162909619619725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-70</v>
      </c>
      <c r="BE150" s="13">
        <f>BD150*VLOOKUP('Données projet'!$B$11,Paramètres!$A$1:$I$89,3,0)*VLOOKUP('Données projet'!$B$11,Paramètres!$A$1:$I$89,5,0)</f>
        <v>-56.783999999999999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99.41315989132292</v>
      </c>
      <c r="BJ150" s="59">
        <f t="shared" si="146"/>
        <v>111.63051055870588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8.8248981260951371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8.8248981260951371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6.1</v>
      </c>
      <c r="N151" s="13">
        <f>IF('Données projet'!$A$36&gt;35,N150+M151-V150,IF(A151&lt;'Données projet'!$A$36,$K$205^A151,IF(A151='Données projet'!$A$36,'Données projet'!$B$36,N150+M151-V150)))</f>
        <v>341.29999999999961</v>
      </c>
      <c r="O151" s="13">
        <f>N151*VLOOKUP('Données projet'!$B$9,Paramètres!$A$1:$I$89,3,0)*VLOOKUP('Données projet'!$B$9,Paramètres!$A$1:$I$89,5,0)</f>
        <v>308.80823999999961</v>
      </c>
      <c r="P151" s="13">
        <f t="shared" si="141"/>
        <v>73.019887483808787</v>
      </c>
      <c r="Q151" s="20">
        <f t="shared" si="108"/>
        <v>665.01732203429958</v>
      </c>
      <c r="R151" s="59">
        <f t="shared" si="109"/>
        <v>951.47381835981128</v>
      </c>
      <c r="S151" s="59">
        <f ca="1">AVERAGE(OFFSET($R$3,0,0,'Données projet'!$E$9+1,1))-AVERAGE(OFFSET($H$3,0,0,'Données projet'!$E$9+1,1))</f>
        <v>474.39725570496114</v>
      </c>
      <c r="T151" s="59">
        <f t="shared" si="142"/>
        <v>196.13536593828755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42.78421932043949</v>
      </c>
      <c r="AA151" s="21">
        <f>EXP(-LN(2)/25)*AA150+(1-EXP(-LN(2)/25))/(LN(2)/25)*Calculateur!V151*Calculateur!X151*VLOOKUP('Données projet'!$B$9,Paramètres!$A$1:$I$89,3,0)*0.475*44/12</f>
        <v>27.184203459486739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69.968422779926229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1.3301360013429075E-13</v>
      </c>
      <c r="AK151" s="13">
        <f t="shared" si="143"/>
        <v>1.9329766731057041E-12</v>
      </c>
      <c r="AL151" s="20">
        <f t="shared" si="112"/>
        <v>3.5982663925596575E-12</v>
      </c>
      <c r="AM151" s="59">
        <f t="shared" si="113"/>
        <v>286.45649632551527</v>
      </c>
      <c r="AN151" s="59">
        <f ca="1">AVERAGE(OFFSET($AM$3,0,0,'Données projet'!$E$10+1,1))-AVERAGE(OFFSET($H$3,0,0,'Données projet'!$E$10+1,1))</f>
        <v>381.55743422692029</v>
      </c>
      <c r="AO151" s="59">
        <f t="shared" si="144"/>
        <v>360.34132229290537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42.419535872312771</v>
      </c>
      <c r="AV151" s="21">
        <f>EXP(-LN(2)/25)*AV150+(1-EXP(-LN(2)/25))/(LN(2)/25)*Calculateur!AQ151*Calculateur!AS151*VLOOKUP('Données projet'!$B$10,Paramètres!$A$1:$I$89,3,0)*0.475*44/12</f>
        <v>3.7884081100519755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46.207943982364746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-70</v>
      </c>
      <c r="BE151" s="13">
        <f>BD151*VLOOKUP('Données projet'!$B$11,Paramètres!$A$1:$I$89,3,0)*VLOOKUP('Données projet'!$B$11,Paramètres!$A$1:$I$89,5,0)</f>
        <v>-56.783999999999999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99.41315989132292</v>
      </c>
      <c r="BJ151" s="59">
        <f t="shared" si="146"/>
        <v>111.63051055870588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8.6518472564987761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8.6518472564987761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6.1</v>
      </c>
      <c r="N152" s="13">
        <f>IF('Données projet'!$A$36&gt;35,N151+M152-V151,IF(A152&lt;'Données projet'!$A$36,$K$205^A152,IF(A152='Données projet'!$A$36,'Données projet'!$B$36,N151+M152-V151)))</f>
        <v>347.39999999999964</v>
      </c>
      <c r="O152" s="13">
        <f>N152*VLOOKUP('Données projet'!$B$9,Paramètres!$A$1:$I$89,3,0)*VLOOKUP('Données projet'!$B$9,Paramètres!$A$1:$I$89,5,0)</f>
        <v>314.32751999999965</v>
      </c>
      <c r="P152" s="13">
        <f t="shared" si="141"/>
        <v>74.171858109476773</v>
      </c>
      <c r="Q152" s="20">
        <f t="shared" si="108"/>
        <v>676.63641687400468</v>
      </c>
      <c r="R152" s="59">
        <f t="shared" si="109"/>
        <v>963.21221094729776</v>
      </c>
      <c r="S152" s="59">
        <f ca="1">AVERAGE(OFFSET($R$3,0,0,'Données projet'!$E$9+1,1))-AVERAGE(OFFSET($H$3,0,0,'Données projet'!$E$9+1,1))</f>
        <v>474.39725570496114</v>
      </c>
      <c r="T152" s="59">
        <f t="shared" si="142"/>
        <v>196.13536593828755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41.945246875362713</v>
      </c>
      <c r="AA152" s="21">
        <f>EXP(-LN(2)/25)*AA151+(1-EXP(-LN(2)/25))/(LN(2)/25)*Calculateur!V152*Calculateur!X152*VLOOKUP('Données projet'!$B$9,Paramètres!$A$1:$I$89,3,0)*0.475*44/12</f>
        <v>26.440849986331944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68.386096861694654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1.3301360013429075E-13</v>
      </c>
      <c r="AK152" s="13">
        <f t="shared" si="143"/>
        <v>1.9329766731057041E-12</v>
      </c>
      <c r="AL152" s="20">
        <f t="shared" si="112"/>
        <v>3.5982663925596575E-12</v>
      </c>
      <c r="AM152" s="59">
        <f t="shared" si="113"/>
        <v>286.57579407329666</v>
      </c>
      <c r="AN152" s="59">
        <f ca="1">AVERAGE(OFFSET($AM$3,0,0,'Données projet'!$E$10+1,1))-AVERAGE(OFFSET($H$3,0,0,'Données projet'!$E$10+1,1))</f>
        <v>381.55743422692029</v>
      </c>
      <c r="AO152" s="59">
        <f t="shared" si="144"/>
        <v>360.34132229290537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41.587714647218817</v>
      </c>
      <c r="AV152" s="21">
        <f>EXP(-LN(2)/25)*AV151+(1-EXP(-LN(2)/25))/(LN(2)/25)*Calculateur!AQ152*Calculateur!AS152*VLOOKUP('Données projet'!$B$10,Paramètres!$A$1:$I$89,3,0)*0.475*44/12</f>
        <v>3.6848138910588801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45.272528538277697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-70</v>
      </c>
      <c r="BE152" s="13">
        <f>BD152*VLOOKUP('Données projet'!$B$11,Paramètres!$A$1:$I$89,3,0)*VLOOKUP('Données projet'!$B$11,Paramètres!$A$1:$I$89,5,0)</f>
        <v>-56.783999999999999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99.41315989132292</v>
      </c>
      <c r="BJ152" s="59">
        <f t="shared" si="146"/>
        <v>111.63051055870588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8.4821898089045913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8.4821898089045913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6.1</v>
      </c>
      <c r="N153" s="13">
        <f>IF('Données projet'!$A$36&gt;35,N152+M153-V152,IF(A153&lt;'Données projet'!$A$36,$K$205^A153,IF(A153='Données projet'!$A$36,'Données projet'!$B$36,N152+M153-V152)))</f>
        <v>353.49999999999966</v>
      </c>
      <c r="O153" s="13">
        <f>N153*VLOOKUP('Données projet'!$B$9,Paramètres!$A$1:$I$89,3,0)*VLOOKUP('Données projet'!$B$9,Paramètres!$A$1:$I$89,5,0)</f>
        <v>319.84679999999969</v>
      </c>
      <c r="P153" s="13">
        <f t="shared" si="141"/>
        <v>75.321476535091989</v>
      </c>
      <c r="Q153" s="20">
        <f t="shared" si="108"/>
        <v>688.25141496528465</v>
      </c>
      <c r="R153" s="59">
        <f t="shared" si="109"/>
        <v>974.94443723714494</v>
      </c>
      <c r="S153" s="59">
        <f ca="1">AVERAGE(OFFSET($R$3,0,0,'Données projet'!$E$9+1,1))-AVERAGE(OFFSET($H$3,0,0,'Données projet'!$E$9+1,1))</f>
        <v>474.39725570496114</v>
      </c>
      <c r="T153" s="59">
        <f t="shared" si="142"/>
        <v>196.13536593828755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41.12272616821123</v>
      </c>
      <c r="AA153" s="21">
        <f>EXP(-LN(2)/25)*AA152+(1-EXP(-LN(2)/25))/(LN(2)/25)*Calculateur!V153*Calculateur!X153*VLOOKUP('Données projet'!$B$9,Paramètres!$A$1:$I$89,3,0)*0.475*44/12</f>
        <v>25.717823552991828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66.840549721203061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1.3301360013429075E-13</v>
      </c>
      <c r="AK153" s="13">
        <f t="shared" si="143"/>
        <v>1.9329766731057041E-12</v>
      </c>
      <c r="AL153" s="20">
        <f t="shared" si="112"/>
        <v>3.5982663925596575E-12</v>
      </c>
      <c r="AM153" s="59">
        <f t="shared" si="113"/>
        <v>286.69302227186392</v>
      </c>
      <c r="AN153" s="59">
        <f ca="1">AVERAGE(OFFSET($AM$3,0,0,'Données projet'!$E$10+1,1))-AVERAGE(OFFSET($H$3,0,0,'Données projet'!$E$10+1,1))</f>
        <v>381.55743422692029</v>
      </c>
      <c r="AO153" s="59">
        <f t="shared" si="144"/>
        <v>360.34132229290537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40.77220492898811</v>
      </c>
      <c r="AV153" s="21">
        <f>EXP(-LN(2)/25)*AV152+(1-EXP(-LN(2)/25))/(LN(2)/25)*Calculateur!AQ153*Calculateur!AS153*VLOOKUP('Données projet'!$B$10,Paramètres!$A$1:$I$89,3,0)*0.475*44/12</f>
        <v>3.5840524614319342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44.356257390420041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-70</v>
      </c>
      <c r="BE153" s="13">
        <f>BD153*VLOOKUP('Données projet'!$B$11,Paramètres!$A$1:$I$89,3,0)*VLOOKUP('Données projet'!$B$11,Paramètres!$A$1:$I$89,5,0)</f>
        <v>-56.783999999999999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99.41315989132292</v>
      </c>
      <c r="BJ153" s="59">
        <f t="shared" si="146"/>
        <v>111.63051055870588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8.3158592403769021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8.3158592403769021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6.1</v>
      </c>
      <c r="N154" s="13">
        <f>IF('Données projet'!$A$36&gt;35,N153+M154-V153,IF(A154&lt;'Données projet'!$A$36,$K$205^A154,IF(A154='Données projet'!$A$36,'Données projet'!$B$36,N153+M154-V153)))</f>
        <v>359.59999999999968</v>
      </c>
      <c r="O154" s="13">
        <f>N154*VLOOKUP('Données projet'!$B$9,Paramètres!$A$1:$I$89,3,0)*VLOOKUP('Données projet'!$B$9,Paramètres!$A$1:$I$89,5,0)</f>
        <v>325.36607999999973</v>
      </c>
      <c r="P154" s="13">
        <f t="shared" si="141"/>
        <v>76.468788033923701</v>
      </c>
      <c r="Q154" s="20">
        <f t="shared" ref="Q154:Q203" si="162">(O154+P154)*0.475*44/12</f>
        <v>699.86239515908335</v>
      </c>
      <c r="R154" s="59">
        <f t="shared" si="109"/>
        <v>986.67061198234865</v>
      </c>
      <c r="S154" s="59">
        <f ca="1">AVERAGE(OFFSET($R$3,0,0,'Données projet'!$E$9+1,1))-AVERAGE(OFFSET($H$3,0,0,'Données projet'!$E$9+1,1))</f>
        <v>474.39725570496114</v>
      </c>
      <c r="T154" s="59">
        <f t="shared" si="142"/>
        <v>196.13536593828755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40.316334590438892</v>
      </c>
      <c r="AA154" s="21">
        <f>EXP(-LN(2)/25)*AA153+(1-EXP(-LN(2)/25))/(LN(2)/25)*Calculateur!V154*Calculateur!X154*VLOOKUP('Données projet'!$B$9,Paramètres!$A$1:$I$89,3,0)*0.475*44/12</f>
        <v>25.014568315493705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65.330902905932589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1.3301360013429075E-13</v>
      </c>
      <c r="AK154" s="13">
        <f t="shared" ref="AK154:AK203" si="164">EXP(-1.0587+0.8836*LN(AJ154)+0.284)</f>
        <v>1.9329766731057041E-12</v>
      </c>
      <c r="AL154" s="20">
        <f t="shared" ref="AL154:AL203" si="165">(AJ154+AK154)*0.475*44/12</f>
        <v>3.5982663925596575E-12</v>
      </c>
      <c r="AM154" s="59">
        <f t="shared" si="113"/>
        <v>286.80821682326894</v>
      </c>
      <c r="AN154" s="59">
        <f ca="1">AVERAGE(OFFSET($AM$3,0,0,'Données projet'!$E$10+1,1))-AVERAGE(OFFSET($H$3,0,0,'Données projet'!$E$10+1,1))</f>
        <v>381.55743422692029</v>
      </c>
      <c r="AO154" s="59">
        <f t="shared" si="144"/>
        <v>360.34132229290537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39.972686858920092</v>
      </c>
      <c r="AV154" s="21">
        <f>EXP(-LN(2)/25)*AV153+(1-EXP(-LN(2)/25))/(LN(2)/25)*Calculateur!AQ154*Calculateur!AS154*VLOOKUP('Données projet'!$B$10,Paramètres!$A$1:$I$89,3,0)*0.475*44/12</f>
        <v>3.4860463583969503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43.45873321731704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-70</v>
      </c>
      <c r="BE154" s="13">
        <f>BD154*VLOOKUP('Données projet'!$B$11,Paramètres!$A$1:$I$89,3,0)*VLOOKUP('Données projet'!$B$11,Paramètres!$A$1:$I$89,5,0)</f>
        <v>-56.783999999999999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99.41315989132292</v>
      </c>
      <c r="BJ154" s="59">
        <f t="shared" si="146"/>
        <v>111.63051055870588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8.1527903128464114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8.1527903128464114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6.1</v>
      </c>
      <c r="N155" s="13">
        <f>IF('Données projet'!$A$36&gt;35,N154+M155-V154,IF(A155&lt;'Données projet'!$A$36,$K$205^A155,IF(A155='Données projet'!$A$36,'Données projet'!$B$36,N154+M155-V154)))</f>
        <v>365.6999999999997</v>
      </c>
      <c r="O155" s="13">
        <f>N155*VLOOKUP('Données projet'!$B$9,Paramètres!$A$1:$I$89,3,0)*VLOOKUP('Données projet'!$B$9,Paramètres!$A$1:$I$89,5,0)</f>
        <v>330.88535999999976</v>
      </c>
      <c r="P155" s="13">
        <f t="shared" si="141"/>
        <v>77.613836255251215</v>
      </c>
      <c r="Q155" s="20">
        <f t="shared" si="162"/>
        <v>711.46943347789545</v>
      </c>
      <c r="R155" s="59">
        <f t="shared" si="109"/>
        <v>998.3908464846354</v>
      </c>
      <c r="S155" s="59">
        <f ca="1">AVERAGE(OFFSET($R$3,0,0,'Données projet'!$E$9+1,1))-AVERAGE(OFFSET($H$3,0,0,'Données projet'!$E$9+1,1))</f>
        <v>474.39725570496114</v>
      </c>
      <c r="T155" s="59">
        <f t="shared" si="142"/>
        <v>196.13536593828755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39.525755859656371</v>
      </c>
      <c r="AA155" s="21">
        <f>EXP(-LN(2)/25)*AA154+(1-EXP(-LN(2)/25))/(LN(2)/25)*Calculateur!V155*Calculateur!X155*VLOOKUP('Données projet'!$B$9,Paramètres!$A$1:$I$89,3,0)*0.475*44/12</f>
        <v>24.330543629447554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63.856299489103925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1.3301360013429075E-13</v>
      </c>
      <c r="AK155" s="13">
        <f t="shared" si="164"/>
        <v>1.9329766731057041E-12</v>
      </c>
      <c r="AL155" s="20">
        <f t="shared" si="165"/>
        <v>3.5982663925596575E-12</v>
      </c>
      <c r="AM155" s="59">
        <f t="shared" si="113"/>
        <v>286.92141300674348</v>
      </c>
      <c r="AN155" s="59">
        <f ca="1">AVERAGE(OFFSET($AM$3,0,0,'Données projet'!$E$10+1,1))-AVERAGE(OFFSET($H$3,0,0,'Données projet'!$E$10+1,1))</f>
        <v>381.55743422692029</v>
      </c>
      <c r="AO155" s="59">
        <f t="shared" si="144"/>
        <v>360.34132229290537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39.188846850548238</v>
      </c>
      <c r="AV155" s="21">
        <f>EXP(-LN(2)/25)*AV154+(1-EXP(-LN(2)/25))/(LN(2)/25)*Calculateur!AQ155*Calculateur!AS155*VLOOKUP('Données projet'!$B$10,Paramètres!$A$1:$I$89,3,0)*0.475*44/12</f>
        <v>3.3907202374033751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42.579567087951617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-70</v>
      </c>
      <c r="BE155" s="13">
        <f>BD155*VLOOKUP('Données projet'!$B$11,Paramètres!$A$1:$I$89,3,0)*VLOOKUP('Données projet'!$B$11,Paramètres!$A$1:$I$89,5,0)</f>
        <v>-56.783999999999999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99.41315989132292</v>
      </c>
      <c r="BJ155" s="59">
        <f t="shared" si="146"/>
        <v>111.63051055870588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7.9929190675225694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7.9929190675225694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6.1</v>
      </c>
      <c r="N156" s="13">
        <f>IF('Données projet'!$A$36&gt;35,N155+M156-V155,IF(A156&lt;'Données projet'!$A$36,$K$205^A156,IF(A156='Données projet'!$A$36,'Données projet'!$B$36,N155+M156-V155)))</f>
        <v>371.79999999999973</v>
      </c>
      <c r="O156" s="13">
        <f>N156*VLOOKUP('Données projet'!$B$9,Paramètres!$A$1:$I$89,3,0)*VLOOKUP('Données projet'!$B$9,Paramètres!$A$1:$I$89,5,0)</f>
        <v>336.40463999999974</v>
      </c>
      <c r="P156" s="13">
        <f t="shared" si="141"/>
        <v>78.756663308716668</v>
      </c>
      <c r="Q156" s="20">
        <f t="shared" si="162"/>
        <v>723.07260326268113</v>
      </c>
      <c r="R156" s="59">
        <f t="shared" si="109"/>
        <v>1010.1052487521811</v>
      </c>
      <c r="S156" s="59">
        <f ca="1">AVERAGE(OFFSET($R$3,0,0,'Données projet'!$E$9+1,1))-AVERAGE(OFFSET($H$3,0,0,'Données projet'!$E$9+1,1))</f>
        <v>474.39725570496114</v>
      </c>
      <c r="T156" s="59">
        <f t="shared" si="142"/>
        <v>196.13536593828755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38.750679895579083</v>
      </c>
      <c r="AA156" s="21">
        <f>EXP(-LN(2)/25)*AA155+(1-EXP(-LN(2)/25))/(LN(2)/25)*Calculateur!V156*Calculateur!X156*VLOOKUP('Données projet'!$B$9,Paramètres!$A$1:$I$89,3,0)*0.475*44/12</f>
        <v>23.66522363441263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62.415903529991709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1.3301360013429075E-13</v>
      </c>
      <c r="AK156" s="13">
        <f t="shared" si="164"/>
        <v>1.9329766731057041E-12</v>
      </c>
      <c r="AL156" s="20">
        <f t="shared" si="165"/>
        <v>3.5982663925596575E-12</v>
      </c>
      <c r="AM156" s="59">
        <f t="shared" si="113"/>
        <v>287.03264548950358</v>
      </c>
      <c r="AN156" s="59">
        <f ca="1">AVERAGE(OFFSET($AM$3,0,0,'Données projet'!$E$10+1,1))-AVERAGE(OFFSET($H$3,0,0,'Données projet'!$E$10+1,1))</f>
        <v>381.55743422692029</v>
      </c>
      <c r="AO156" s="59">
        <f t="shared" si="144"/>
        <v>360.34132229290537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38.420377466645355</v>
      </c>
      <c r="AV156" s="21">
        <f>EXP(-LN(2)/25)*AV155+(1-EXP(-LN(2)/25))/(LN(2)/25)*Calculateur!AQ156*Calculateur!AS156*VLOOKUP('Données projet'!$B$10,Paramètres!$A$1:$I$89,3,0)*0.475*44/12</f>
        <v>3.2980008142013522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41.718378280846707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-70</v>
      </c>
      <c r="BE156" s="13">
        <f>BD156*VLOOKUP('Données projet'!$B$11,Paramètres!$A$1:$I$89,3,0)*VLOOKUP('Données projet'!$B$11,Paramètres!$A$1:$I$89,5,0)</f>
        <v>-56.783999999999999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99.41315989132292</v>
      </c>
      <c r="BJ156" s="59">
        <f t="shared" si="146"/>
        <v>111.63051055870588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7.8361827998076974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7.8361827998076974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6.1</v>
      </c>
      <c r="N157" s="13">
        <f>IF('Données projet'!$A$36&gt;35,N156+M157-V156,IF(A157&lt;'Données projet'!$A$36,$K$205^A157,IF(A157='Données projet'!$A$36,'Données projet'!$B$36,N156+M157-V156)))</f>
        <v>377.89999999999975</v>
      </c>
      <c r="O157" s="13">
        <f>N157*VLOOKUP('Données projet'!$B$9,Paramètres!$A$1:$I$89,3,0)*VLOOKUP('Données projet'!$B$9,Paramètres!$A$1:$I$89,5,0)</f>
        <v>341.92391999999978</v>
      </c>
      <c r="P157" s="13">
        <f t="shared" si="141"/>
        <v>79.897309842985493</v>
      </c>
      <c r="Q157" s="20">
        <f t="shared" si="162"/>
        <v>734.67197530986607</v>
      </c>
      <c r="R157" s="59">
        <f t="shared" si="109"/>
        <v>1021.8139236472289</v>
      </c>
      <c r="S157" s="59">
        <f ca="1">AVERAGE(OFFSET($R$3,0,0,'Données projet'!$E$9+1,1))-AVERAGE(OFFSET($H$3,0,0,'Données projet'!$E$9+1,1))</f>
        <v>474.39725570496114</v>
      </c>
      <c r="T157" s="59">
        <f t="shared" si="142"/>
        <v>196.13536593828755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37.990802698407691</v>
      </c>
      <c r="AA157" s="21">
        <f>EXP(-LN(2)/25)*AA156+(1-EXP(-LN(2)/25))/(LN(2)/25)*Calculateur!V157*Calculateur!X157*VLOOKUP('Données projet'!$B$9,Paramètres!$A$1:$I$89,3,0)*0.475*44/12</f>
        <v>23.018096849629593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61.008899548037284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1.3301360013429075E-13</v>
      </c>
      <c r="AK157" s="13">
        <f t="shared" si="164"/>
        <v>1.9329766731057041E-12</v>
      </c>
      <c r="AL157" s="20">
        <f t="shared" si="165"/>
        <v>3.5982663925596575E-12</v>
      </c>
      <c r="AM157" s="59">
        <f t="shared" si="113"/>
        <v>287.14194833736633</v>
      </c>
      <c r="AN157" s="59">
        <f ca="1">AVERAGE(OFFSET($AM$3,0,0,'Données projet'!$E$10+1,1))-AVERAGE(OFFSET($H$3,0,0,'Données projet'!$E$10+1,1))</f>
        <v>381.55743422692029</v>
      </c>
      <c r="AO157" s="59">
        <f t="shared" si="144"/>
        <v>360.34132229290537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37.666977298640766</v>
      </c>
      <c r="AV157" s="21">
        <f>EXP(-LN(2)/25)*AV156+(1-EXP(-LN(2)/25))/(LN(2)/25)*Calculateur!AQ157*Calculateur!AS157*VLOOKUP('Données projet'!$B$10,Paramètres!$A$1:$I$89,3,0)*0.475*44/12</f>
        <v>3.2078168085026912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40.874794107143458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-70</v>
      </c>
      <c r="BE157" s="13">
        <f>BD157*VLOOKUP('Données projet'!$B$11,Paramètres!$A$1:$I$89,3,0)*VLOOKUP('Données projet'!$B$11,Paramètres!$A$1:$I$89,5,0)</f>
        <v>-56.783999999999999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99.41315989132292</v>
      </c>
      <c r="BJ157" s="59">
        <f t="shared" si="146"/>
        <v>111.63051055870588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7.68252003470303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7.68252003470303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>
        <f>VLOOKUP(A158,'Données projet'!$A$35:$I$55,2,0)</f>
        <v>384</v>
      </c>
      <c r="L158" s="12">
        <f>VLOOKUP(A158,'Données projet'!$A$35:$I$55,9,0)</f>
        <v>6.1</v>
      </c>
      <c r="M158" s="12">
        <f t="array" ref="M158">INDEX(L:L,MIN(IF(ISNUMBER(L158:L354),ROW(L158:L354),"")))</f>
        <v>6.1</v>
      </c>
      <c r="N158" s="13">
        <f>IF('Données projet'!$A$36&gt;35,N157+M158-V157,IF(A158&lt;'Données projet'!$A$36,$K$205^A158,IF(A158='Données projet'!$A$36,'Données projet'!$B$36,N157+M158-V157)))</f>
        <v>383.99999999999977</v>
      </c>
      <c r="O158" s="13">
        <f>N158*VLOOKUP('Données projet'!$B$9,Paramètres!$A$1:$I$89,3,0)*VLOOKUP('Données projet'!$B$9,Paramètres!$A$1:$I$89,5,0)</f>
        <v>347.44319999999976</v>
      </c>
      <c r="P158" s="13">
        <f t="shared" si="141"/>
        <v>81.035815119183155</v>
      </c>
      <c r="Q158" s="20">
        <f t="shared" si="162"/>
        <v>746.26761799924361</v>
      </c>
      <c r="R158" s="59">
        <f t="shared" si="109"/>
        <v>1033.5169730244234</v>
      </c>
      <c r="S158" s="59">
        <f ca="1">AVERAGE(OFFSET($R$3,0,0,'Données projet'!$E$9+1,1))-AVERAGE(OFFSET($H$3,0,0,'Données projet'!$E$9+1,1))</f>
        <v>474.39725570496114</v>
      </c>
      <c r="T158" s="59">
        <f t="shared" si="142"/>
        <v>196.13536593828755</v>
      </c>
      <c r="U158" s="15">
        <f>IF(ISNA(VLOOKUP(A158,'Données projet'!$A$35:$I$55,3,0)),0,VLOOKUP(A158,'Données projet'!$A$35:$I$55,3,0))</f>
        <v>13</v>
      </c>
      <c r="V158" s="15">
        <f>IF(ISNA(VLOOKUP(A158,'Données projet'!$A$35:$I$55,4,0)),0,VLOOKUP(A158,'Données projet'!$A$35:$I$55,4,0))</f>
        <v>51</v>
      </c>
      <c r="W158" s="16">
        <f>IF(ISNA(VLOOKUP(A158,'Données projet'!$A$35:$I$55,5,0)),0%,VLOOKUP(A158,'Données projet'!$A$35:$I$55,5,0)*VLOOKUP('Données projet'!$B$9,Paramètres!$A$1:$I$89,7,0))</f>
        <v>0.215</v>
      </c>
      <c r="X158" s="16">
        <f>IF(ISNA(VLOOKUP(A158,'Données projet'!$A$35:$I$55,6,0)),0%,VLOOKUP(A158,'Données projet'!$A$35:$I$55,6,0)*VLOOKUP('Données projet'!$B$9,Paramètres!$A$1:$I$89,7,0))</f>
        <v>0.17200000000000001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48.213343787029999</v>
      </c>
      <c r="AA158" s="21">
        <f>EXP(-LN(2)/25)*AA157+(1-EXP(-LN(2)/25))/(LN(2)/25)*Calculateur!V158*Calculateur!X158*VLOOKUP('Données projet'!$B$9,Paramètres!$A$1:$I$89,3,0)*0.475*44/12</f>
        <v>31.128133190296214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79.341476977326209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1.3301360013429075E-13</v>
      </c>
      <c r="AK158" s="13">
        <f t="shared" si="164"/>
        <v>1.9329766731057041E-12</v>
      </c>
      <c r="AL158" s="20">
        <f t="shared" si="165"/>
        <v>3.5982663925596575E-12</v>
      </c>
      <c r="AM158" s="59">
        <f t="shared" si="113"/>
        <v>287.24935502518326</v>
      </c>
      <c r="AN158" s="59">
        <f ca="1">AVERAGE(OFFSET($AM$3,0,0,'Données projet'!$E$10+1,1))-AVERAGE(OFFSET($H$3,0,0,'Données projet'!$E$10+1,1))</f>
        <v>381.55743422692029</v>
      </c>
      <c r="AO158" s="59">
        <f t="shared" si="144"/>
        <v>360.34132229290537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36.928350848402019</v>
      </c>
      <c r="AV158" s="21">
        <f>EXP(-LN(2)/25)*AV157+(1-EXP(-LN(2)/25))/(LN(2)/25)*Calculateur!AQ158*Calculateur!AS158*VLOOKUP('Données projet'!$B$10,Paramètres!$A$1:$I$89,3,0)*0.475*44/12</f>
        <v>3.1200988891824308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40.048449737584448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-70</v>
      </c>
      <c r="BE158" s="13">
        <f>BD158*VLOOKUP('Données projet'!$B$11,Paramètres!$A$1:$I$89,3,0)*VLOOKUP('Données projet'!$B$11,Paramètres!$A$1:$I$89,5,0)</f>
        <v>-56.783999999999999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99.41315989132292</v>
      </c>
      <c r="BJ158" s="59">
        <f t="shared" si="146"/>
        <v>111.63051055870588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7.531870502697033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7.531870502697033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7.4</v>
      </c>
      <c r="N159" s="13">
        <f>IF('Données projet'!$A$36&gt;35,N158+M159-V158,IF(A159&lt;'Données projet'!$A$36,$K$205^A159,IF(A159='Données projet'!$A$36,'Données projet'!$B$36,N158+M159-V158)))</f>
        <v>340.39999999999975</v>
      </c>
      <c r="O159" s="13">
        <f>N159*VLOOKUP('Données projet'!$B$9,Paramètres!$A$1:$I$89,3,0)*VLOOKUP('Données projet'!$B$9,Paramètres!$A$1:$I$89,5,0)</f>
        <v>307.99391999999978</v>
      </c>
      <c r="P159" s="13">
        <f t="shared" si="141"/>
        <v>72.849722655374066</v>
      </c>
      <c r="Q159" s="20">
        <f t="shared" si="162"/>
        <v>663.30267762477615</v>
      </c>
      <c r="R159" s="59">
        <f t="shared" si="109"/>
        <v>950.65757607186447</v>
      </c>
      <c r="S159" s="59">
        <f ca="1">AVERAGE(OFFSET($R$3,0,0,'Données projet'!$E$9+1,1))-AVERAGE(OFFSET($H$3,0,0,'Données projet'!$E$9+1,1))</f>
        <v>474.39725570496114</v>
      </c>
      <c r="T159" s="59">
        <f t="shared" si="142"/>
        <v>196.13536593828755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47.267909522602324</v>
      </c>
      <c r="AA159" s="21">
        <f>EXP(-LN(2)/25)*AA158+(1-EXP(-LN(2)/25))/(LN(2)/25)*Calculateur!V159*Calculateur!X159*VLOOKUP('Données projet'!$B$9,Paramètres!$A$1:$I$89,3,0)*0.475*44/12</f>
        <v>30.276932751250186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77.54484227385251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1.3301360013429075E-13</v>
      </c>
      <c r="AK159" s="13">
        <f t="shared" si="164"/>
        <v>1.9329766731057041E-12</v>
      </c>
      <c r="AL159" s="20">
        <f t="shared" si="165"/>
        <v>3.5982663925596575E-12</v>
      </c>
      <c r="AM159" s="59">
        <f t="shared" si="113"/>
        <v>287.3548984470919</v>
      </c>
      <c r="AN159" s="59">
        <f ca="1">AVERAGE(OFFSET($AM$3,0,0,'Données projet'!$E$10+1,1))-AVERAGE(OFFSET($H$3,0,0,'Données projet'!$E$10+1,1))</f>
        <v>381.55743422692029</v>
      </c>
      <c r="AO159" s="59">
        <f t="shared" si="144"/>
        <v>360.34132229290537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36.204208412334808</v>
      </c>
      <c r="AV159" s="21">
        <f>EXP(-LN(2)/25)*AV158+(1-EXP(-LN(2)/25))/(LN(2)/25)*Calculateur!AQ159*Calculateur!AS159*VLOOKUP('Données projet'!$B$10,Paramètres!$A$1:$I$89,3,0)*0.475*44/12</f>
        <v>3.0347796209788678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39.238988033313674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-70</v>
      </c>
      <c r="BE159" s="13">
        <f>BD159*VLOOKUP('Données projet'!$B$11,Paramètres!$A$1:$I$89,3,0)*VLOOKUP('Données projet'!$B$11,Paramètres!$A$1:$I$89,5,0)</f>
        <v>-56.783999999999999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99.41315989132292</v>
      </c>
      <c r="BJ159" s="59">
        <f t="shared" si="146"/>
        <v>111.63051055870588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7.3841751161265323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7.3841751161265323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7.4</v>
      </c>
      <c r="N160" s="13">
        <f>IF('Données projet'!$A$36&gt;35,N159+M160-V159,IF(A160&lt;'Données projet'!$A$36,$K$205^A160,IF(A160='Données projet'!$A$36,'Données projet'!$B$36,N159+M160-V159)))</f>
        <v>347.79999999999973</v>
      </c>
      <c r="O160" s="13">
        <f>N160*VLOOKUP('Données projet'!$B$9,Paramètres!$A$1:$I$89,3,0)*VLOOKUP('Données projet'!$B$9,Paramètres!$A$1:$I$89,5,0)</f>
        <v>314.68943999999971</v>
      </c>
      <c r="P160" s="13">
        <f t="shared" si="141"/>
        <v>74.247314486967696</v>
      </c>
      <c r="Q160" s="20">
        <f t="shared" si="162"/>
        <v>677.39818073146819</v>
      </c>
      <c r="R160" s="59">
        <f t="shared" si="109"/>
        <v>964.85679165805482</v>
      </c>
      <c r="S160" s="59">
        <f ca="1">AVERAGE(OFFSET($R$3,0,0,'Données projet'!$E$9+1,1))-AVERAGE(OFFSET($H$3,0,0,'Données projet'!$E$9+1,1))</f>
        <v>474.39725570496114</v>
      </c>
      <c r="T160" s="59">
        <f t="shared" si="142"/>
        <v>196.13536593828755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46.341014647442115</v>
      </c>
      <c r="AA160" s="21">
        <f>EXP(-LN(2)/25)*AA159+(1-EXP(-LN(2)/25))/(LN(2)/25)*Calculateur!V160*Calculateur!X160*VLOOKUP('Données projet'!$B$9,Paramètres!$A$1:$I$89,3,0)*0.475*44/12</f>
        <v>29.449008432972555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75.79002308041467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1.3301360013429075E-13</v>
      </c>
      <c r="AK160" s="13">
        <f t="shared" si="164"/>
        <v>1.9329766731057041E-12</v>
      </c>
      <c r="AL160" s="20">
        <f t="shared" si="165"/>
        <v>3.5982663925596575E-12</v>
      </c>
      <c r="AM160" s="59">
        <f t="shared" si="113"/>
        <v>287.45861092659015</v>
      </c>
      <c r="AN160" s="59">
        <f ca="1">AVERAGE(OFFSET($AM$3,0,0,'Données projet'!$E$10+1,1))-AVERAGE(OFFSET($H$3,0,0,'Données projet'!$E$10+1,1))</f>
        <v>381.55743422692029</v>
      </c>
      <c r="AO160" s="59">
        <f t="shared" si="144"/>
        <v>360.34132229290537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35.494265967755602</v>
      </c>
      <c r="AV160" s="21">
        <f>EXP(-LN(2)/25)*AV159+(1-EXP(-LN(2)/25))/(LN(2)/25)*Calculateur!AQ160*Calculateur!AS160*VLOOKUP('Données projet'!$B$10,Paramètres!$A$1:$I$89,3,0)*0.475*44/12</f>
        <v>2.9517934126510763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38.44605938040668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-70</v>
      </c>
      <c r="BE160" s="13">
        <f>BD160*VLOOKUP('Données projet'!$B$11,Paramètres!$A$1:$I$89,3,0)*VLOOKUP('Données projet'!$B$11,Paramètres!$A$1:$I$89,5,0)</f>
        <v>-56.783999999999999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99.41315989132292</v>
      </c>
      <c r="BJ160" s="59">
        <f t="shared" si="146"/>
        <v>111.63051055870588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7.2393759460013882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7.2393759460013882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7.4</v>
      </c>
      <c r="N161" s="13">
        <f>IF('Données projet'!$A$36&gt;35,N160+M161-V160,IF(A161&lt;'Données projet'!$A$36,$K$205^A161,IF(A161='Données projet'!$A$36,'Données projet'!$B$36,N160+M161-V160)))</f>
        <v>355.1999999999997</v>
      </c>
      <c r="O161" s="13">
        <f>N161*VLOOKUP('Données projet'!$B$9,Paramètres!$A$1:$I$89,3,0)*VLOOKUP('Données projet'!$B$9,Paramètres!$A$1:$I$89,5,0)</f>
        <v>321.38495999999975</v>
      </c>
      <c r="P161" s="13">
        <f t="shared" si="141"/>
        <v>75.641449055408941</v>
      </c>
      <c r="Q161" s="20">
        <f t="shared" si="162"/>
        <v>691.4876624381701</v>
      </c>
      <c r="R161" s="59">
        <f t="shared" si="109"/>
        <v>979.0481866646021</v>
      </c>
      <c r="S161" s="59">
        <f ca="1">AVERAGE(OFFSET($R$3,0,0,'Données projet'!$E$9+1,1))-AVERAGE(OFFSET($H$3,0,0,'Données projet'!$E$9+1,1))</f>
        <v>474.39725570496114</v>
      </c>
      <c r="T161" s="59">
        <f t="shared" si="142"/>
        <v>196.13536593828755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45.432295615433752</v>
      </c>
      <c r="AA161" s="21">
        <f>EXP(-LN(2)/25)*AA160+(1-EXP(-LN(2)/25))/(LN(2)/25)*Calculateur!V161*Calculateur!X161*VLOOKUP('Données projet'!$B$9,Paramètres!$A$1:$I$89,3,0)*0.475*44/12</f>
        <v>28.643723748716873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74.076019364150625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1.3301360013429075E-13</v>
      </c>
      <c r="AK161" s="13">
        <f t="shared" si="164"/>
        <v>1.9329766731057041E-12</v>
      </c>
      <c r="AL161" s="20">
        <f t="shared" si="165"/>
        <v>3.5982663925596575E-12</v>
      </c>
      <c r="AM161" s="59">
        <f t="shared" si="113"/>
        <v>287.56052422643558</v>
      </c>
      <c r="AN161" s="59">
        <f ca="1">AVERAGE(OFFSET($AM$3,0,0,'Données projet'!$E$10+1,1))-AVERAGE(OFFSET($H$3,0,0,'Données projet'!$E$10+1,1))</f>
        <v>381.55743422692029</v>
      </c>
      <c r="AO161" s="59">
        <f t="shared" si="144"/>
        <v>360.34132229290537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34.798245061492459</v>
      </c>
      <c r="AV161" s="21">
        <f>EXP(-LN(2)/25)*AV160+(1-EXP(-LN(2)/25))/(LN(2)/25)*Calculateur!AQ161*Calculateur!AS161*VLOOKUP('Données projet'!$B$10,Paramètres!$A$1:$I$89,3,0)*0.475*44/12</f>
        <v>2.8710764665540633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37.669321528046524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-70</v>
      </c>
      <c r="BE161" s="13">
        <f>BD161*VLOOKUP('Données projet'!$B$11,Paramètres!$A$1:$I$89,3,0)*VLOOKUP('Données projet'!$B$11,Paramètres!$A$1:$I$89,5,0)</f>
        <v>-56.783999999999999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99.41315989132292</v>
      </c>
      <c r="BJ161" s="59">
        <f t="shared" si="146"/>
        <v>111.63051055870588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7.0974161992836251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7.0974161992836251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7.4</v>
      </c>
      <c r="N162" s="13">
        <f>IF('Données projet'!$A$36&gt;35,N161+M162-V161,IF(A162&lt;'Données projet'!$A$36,$K$205^A162,IF(A162='Données projet'!$A$36,'Données projet'!$B$36,N161+M162-V161)))</f>
        <v>362.59999999999968</v>
      </c>
      <c r="O162" s="13">
        <f>N162*VLOOKUP('Données projet'!$B$9,Paramètres!$A$1:$I$89,3,0)*VLOOKUP('Données projet'!$B$9,Paramètres!$A$1:$I$89,5,0)</f>
        <v>328.08047999999968</v>
      </c>
      <c r="P162" s="13">
        <f t="shared" si="141"/>
        <v>77.032206685189635</v>
      </c>
      <c r="Q162" s="20">
        <f t="shared" si="162"/>
        <v>705.57126264337137</v>
      </c>
      <c r="R162" s="59">
        <f t="shared" si="109"/>
        <v>993.23193220174039</v>
      </c>
      <c r="S162" s="59">
        <f ca="1">AVERAGE(OFFSET($R$3,0,0,'Données projet'!$E$9+1,1))-AVERAGE(OFFSET($H$3,0,0,'Données projet'!$E$9+1,1))</f>
        <v>474.39725570496114</v>
      </c>
      <c r="T162" s="59">
        <f t="shared" si="142"/>
        <v>196.13536593828755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44.541396009379191</v>
      </c>
      <c r="AA162" s="21">
        <f>EXP(-LN(2)/25)*AA161+(1-EXP(-LN(2)/25))/(LN(2)/25)*Calculateur!V162*Calculateur!X162*VLOOKUP('Données projet'!$B$9,Paramètres!$A$1:$I$89,3,0)*0.475*44/12</f>
        <v>27.860459616500243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72.401855625879435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1.3301360013429075E-13</v>
      </c>
      <c r="AK162" s="13">
        <f t="shared" si="164"/>
        <v>1.9329766731057041E-12</v>
      </c>
      <c r="AL162" s="20">
        <f t="shared" si="165"/>
        <v>3.5982663925596575E-12</v>
      </c>
      <c r="AM162" s="59">
        <f t="shared" si="113"/>
        <v>287.66066955837255</v>
      </c>
      <c r="AN162" s="59">
        <f ca="1">AVERAGE(OFFSET($AM$3,0,0,'Données projet'!$E$10+1,1))-AVERAGE(OFFSET($H$3,0,0,'Données projet'!$E$10+1,1))</f>
        <v>381.55743422692029</v>
      </c>
      <c r="AO162" s="59">
        <f t="shared" si="144"/>
        <v>360.34132229290537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34.115872700670302</v>
      </c>
      <c r="AV162" s="21">
        <f>EXP(-LN(2)/25)*AV161+(1-EXP(-LN(2)/25))/(LN(2)/25)*Calculateur!AQ162*Calculateur!AS162*VLOOKUP('Données projet'!$B$10,Paramètres!$A$1:$I$89,3,0)*0.475*44/12</f>
        <v>2.7925667295927932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36.908439430263094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-70</v>
      </c>
      <c r="BE162" s="13">
        <f>BD162*VLOOKUP('Données projet'!$B$11,Paramètres!$A$1:$I$89,3,0)*VLOOKUP('Données projet'!$B$11,Paramètres!$A$1:$I$89,5,0)</f>
        <v>-56.783999999999999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99.41315989132292</v>
      </c>
      <c r="BJ162" s="59">
        <f t="shared" si="146"/>
        <v>111.63051055870588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6.9582401966121017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6.9582401966121017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7.4</v>
      </c>
      <c r="N163" s="13">
        <f>IF('Données projet'!$A$36&gt;35,N162+M163-V162,IF(A163&lt;'Données projet'!$A$36,$K$205^A163,IF(A163='Données projet'!$A$36,'Données projet'!$B$36,N162+M163-V162)))</f>
        <v>369.99999999999966</v>
      </c>
      <c r="O163" s="13">
        <f>N163*VLOOKUP('Données projet'!$B$9,Paramètres!$A$1:$I$89,3,0)*VLOOKUP('Données projet'!$B$9,Paramètres!$A$1:$I$89,5,0)</f>
        <v>334.77599999999967</v>
      </c>
      <c r="P163" s="13">
        <f t="shared" si="141"/>
        <v>78.419664234834713</v>
      </c>
      <c r="Q163" s="20">
        <f t="shared" si="162"/>
        <v>719.6491152090033</v>
      </c>
      <c r="R163" s="59">
        <f t="shared" si="109"/>
        <v>1007.4081928016917</v>
      </c>
      <c r="S163" s="59">
        <f ca="1">AVERAGE(OFFSET($R$3,0,0,'Données projet'!$E$9+1,1))-AVERAGE(OFFSET($H$3,0,0,'Données projet'!$E$9+1,1))</f>
        <v>474.39725570496114</v>
      </c>
      <c r="T163" s="59">
        <f t="shared" si="142"/>
        <v>196.13536593828755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43.667966401204254</v>
      </c>
      <c r="AA163" s="21">
        <f>EXP(-LN(2)/25)*AA162+(1-EXP(-LN(2)/25))/(LN(2)/25)*Calculateur!V163*Calculateur!X163*VLOOKUP('Données projet'!$B$9,Paramètres!$A$1:$I$89,3,0)*0.475*44/12</f>
        <v>27.098613883169151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70.766580284373404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1.3301360013429075E-13</v>
      </c>
      <c r="AK163" s="13">
        <f t="shared" si="164"/>
        <v>1.9329766731057041E-12</v>
      </c>
      <c r="AL163" s="20">
        <f t="shared" si="165"/>
        <v>3.5982663925596575E-12</v>
      </c>
      <c r="AM163" s="59">
        <f t="shared" si="113"/>
        <v>287.75907759269194</v>
      </c>
      <c r="AN163" s="59">
        <f ca="1">AVERAGE(OFFSET($AM$3,0,0,'Données projet'!$E$10+1,1))-AVERAGE(OFFSET($H$3,0,0,'Données projet'!$E$10+1,1))</f>
        <v>381.55743422692029</v>
      </c>
      <c r="AO163" s="59">
        <f t="shared" si="144"/>
        <v>360.34132229290537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33.446881245637826</v>
      </c>
      <c r="AV163" s="21">
        <f>EXP(-LN(2)/25)*AV162+(1-EXP(-LN(2)/25))/(LN(2)/25)*Calculateur!AQ163*Calculateur!AS163*VLOOKUP('Données projet'!$B$10,Paramètres!$A$1:$I$89,3,0)*0.475*44/12</f>
        <v>2.7162038455173763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36.163085091155203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-70</v>
      </c>
      <c r="BE163" s="13">
        <f>BD163*VLOOKUP('Données projet'!$B$11,Paramètres!$A$1:$I$89,3,0)*VLOOKUP('Données projet'!$B$11,Paramètres!$A$1:$I$89,5,0)</f>
        <v>-56.783999999999999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99.41315989132292</v>
      </c>
      <c r="BJ163" s="59">
        <f t="shared" si="146"/>
        <v>111.63051055870588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6.8217933504639872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6.8217933504639872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7.4</v>
      </c>
      <c r="N164" s="13">
        <f>IF('Données projet'!$A$36&gt;35,N163+M164-V163,IF(A164&lt;'Données projet'!$A$36,$K$205^A164,IF(A164='Données projet'!$A$36,'Données projet'!$B$36,N163+M164-V163)))</f>
        <v>377.39999999999964</v>
      </c>
      <c r="O164" s="13">
        <f>N164*VLOOKUP('Données projet'!$B$9,Paramètres!$A$1:$I$89,3,0)*VLOOKUP('Données projet'!$B$9,Paramètres!$A$1:$I$89,5,0)</f>
        <v>341.47151999999966</v>
      </c>
      <c r="P164" s="13">
        <f t="shared" si="141"/>
        <v>79.803895312735833</v>
      </c>
      <c r="Q164" s="20">
        <f t="shared" si="162"/>
        <v>733.72134833634766</v>
      </c>
      <c r="R164" s="59">
        <f t="shared" si="109"/>
        <v>1021.5771268039673</v>
      </c>
      <c r="S164" s="59">
        <f ca="1">AVERAGE(OFFSET($R$3,0,0,'Données projet'!$E$9+1,1))-AVERAGE(OFFSET($H$3,0,0,'Données projet'!$E$9+1,1))</f>
        <v>474.39725570496114</v>
      </c>
      <c r="T164" s="59">
        <f t="shared" si="142"/>
        <v>196.13536593828755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42.811664214906173</v>
      </c>
      <c r="AA164" s="21">
        <f>EXP(-LN(2)/25)*AA163+(1-EXP(-LN(2)/25))/(LN(2)/25)*Calculateur!V164*Calculateur!X164*VLOOKUP('Données projet'!$B$9,Paramètres!$A$1:$I$89,3,0)*0.475*44/12</f>
        <v>26.357600861479721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69.169265076385898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1.3301360013429075E-13</v>
      </c>
      <c r="AK164" s="13">
        <f t="shared" si="164"/>
        <v>1.9329766731057041E-12</v>
      </c>
      <c r="AL164" s="20">
        <f t="shared" si="165"/>
        <v>3.5982663925596575E-12</v>
      </c>
      <c r="AM164" s="59">
        <f t="shared" si="113"/>
        <v>287.85577846762328</v>
      </c>
      <c r="AN164" s="59">
        <f ca="1">AVERAGE(OFFSET($AM$3,0,0,'Données projet'!$E$10+1,1))-AVERAGE(OFFSET($H$3,0,0,'Données projet'!$E$10+1,1))</f>
        <v>381.55743422692029</v>
      </c>
      <c r="AO164" s="59">
        <f t="shared" si="144"/>
        <v>360.34132229290537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32.791008304994037</v>
      </c>
      <c r="AV164" s="21">
        <f>EXP(-LN(2)/25)*AV163+(1-EXP(-LN(2)/25))/(LN(2)/25)*Calculateur!AQ164*Calculateur!AS164*VLOOKUP('Données projet'!$B$10,Paramètres!$A$1:$I$89,3,0)*0.475*44/12</f>
        <v>2.6419291085227514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35.43293741351679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-70</v>
      </c>
      <c r="BE164" s="13">
        <f>BD164*VLOOKUP('Données projet'!$B$11,Paramètres!$A$1:$I$89,3,0)*VLOOKUP('Données projet'!$B$11,Paramètres!$A$1:$I$89,5,0)</f>
        <v>-56.783999999999999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99.41315989132292</v>
      </c>
      <c r="BJ164" s="59">
        <f t="shared" si="146"/>
        <v>111.63051055870588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6.6880221437444787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6.6880221437444787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7.4</v>
      </c>
      <c r="N165" s="13">
        <f>IF('Données projet'!$A$36&gt;35,N164+M165-V164,IF(A165&lt;'Données projet'!$A$36,$K$205^A165,IF(A165='Données projet'!$A$36,'Données projet'!$B$36,N164+M165-V164)))</f>
        <v>384.79999999999961</v>
      </c>
      <c r="O165" s="13">
        <f>N165*VLOOKUP('Données projet'!$B$9,Paramètres!$A$1:$I$89,3,0)*VLOOKUP('Données projet'!$B$9,Paramètres!$A$1:$I$89,5,0)</f>
        <v>348.16703999999964</v>
      </c>
      <c r="P165" s="13">
        <f t="shared" si="141"/>
        <v>81.184970475577273</v>
      </c>
      <c r="Q165" s="20">
        <f t="shared" si="162"/>
        <v>747.78808491162965</v>
      </c>
      <c r="R165" s="59">
        <f t="shared" si="109"/>
        <v>1035.7388867101913</v>
      </c>
      <c r="S165" s="59">
        <f ca="1">AVERAGE(OFFSET($R$3,0,0,'Données projet'!$E$9+1,1))-AVERAGE(OFFSET($H$3,0,0,'Données projet'!$E$9+1,1))</f>
        <v>474.39725570496114</v>
      </c>
      <c r="T165" s="59">
        <f t="shared" si="142"/>
        <v>196.13536593828755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41.972153592188633</v>
      </c>
      <c r="AA165" s="21">
        <f>EXP(-LN(2)/25)*AA164+(1-EXP(-LN(2)/25))/(LN(2)/25)*Calculateur!V165*Calculateur!X165*VLOOKUP('Données projet'!$B$9,Paramètres!$A$1:$I$89,3,0)*0.475*44/12</f>
        <v>25.636850879836569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67.609004472025205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1.3301360013429075E-13</v>
      </c>
      <c r="AK165" s="13">
        <f t="shared" si="164"/>
        <v>1.9329766731057041E-12</v>
      </c>
      <c r="AL165" s="20">
        <f t="shared" si="165"/>
        <v>3.5982663925596575E-12</v>
      </c>
      <c r="AM165" s="59">
        <f t="shared" si="113"/>
        <v>287.95080179856529</v>
      </c>
      <c r="AN165" s="59">
        <f ca="1">AVERAGE(OFFSET($AM$3,0,0,'Données projet'!$E$10+1,1))-AVERAGE(OFFSET($H$3,0,0,'Données projet'!$E$10+1,1))</f>
        <v>381.55743422692029</v>
      </c>
      <c r="AO165" s="59">
        <f t="shared" si="144"/>
        <v>360.34132229290537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32.147996632673284</v>
      </c>
      <c r="AV165" s="21">
        <f>EXP(-LN(2)/25)*AV164+(1-EXP(-LN(2)/25))/(LN(2)/25)*Calculateur!AQ165*Calculateur!AS165*VLOOKUP('Données projet'!$B$10,Paramètres!$A$1:$I$89,3,0)*0.475*44/12</f>
        <v>2.5696854181171833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34.717682050790465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-70</v>
      </c>
      <c r="BE165" s="13">
        <f>BD165*VLOOKUP('Données projet'!$B$11,Paramètres!$A$1:$I$89,3,0)*VLOOKUP('Données projet'!$B$11,Paramètres!$A$1:$I$89,5,0)</f>
        <v>-56.783999999999999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99.41315989132292</v>
      </c>
      <c r="BJ165" s="59">
        <f t="shared" si="146"/>
        <v>111.63051055870588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6.5568741087963609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6.5568741087963609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7.4</v>
      </c>
      <c r="N166" s="13">
        <f>IF('Données projet'!$A$36&gt;35,N165+M166-V165,IF(A166&lt;'Données projet'!$A$36,$K$205^A166,IF(A166='Données projet'!$A$36,'Données projet'!$B$36,N165+M166-V165)))</f>
        <v>392.19999999999959</v>
      </c>
      <c r="O166" s="13">
        <f>N166*VLOOKUP('Données projet'!$B$9,Paramètres!$A$1:$I$89,3,0)*VLOOKUP('Données projet'!$B$9,Paramètres!$A$1:$I$89,5,0)</f>
        <v>354.86255999999963</v>
      </c>
      <c r="P166" s="13">
        <f t="shared" si="141"/>
        <v>82.56295741106787</v>
      </c>
      <c r="Q166" s="20">
        <f t="shared" si="162"/>
        <v>761.8494428242758</v>
      </c>
      <c r="R166" s="59">
        <f t="shared" si="109"/>
        <v>1049.8936195114279</v>
      </c>
      <c r="S166" s="59">
        <f ca="1">AVERAGE(OFFSET($R$3,0,0,'Données projet'!$E$9+1,1))-AVERAGE(OFFSET($H$3,0,0,'Données projet'!$E$9+1,1))</f>
        <v>474.39725570496114</v>
      </c>
      <c r="T166" s="59">
        <f t="shared" si="142"/>
        <v>196.13536593828755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41.149105260731666</v>
      </c>
      <c r="AA166" s="21">
        <f>EXP(-LN(2)/25)*AA165+(1-EXP(-LN(2)/25))/(LN(2)/25)*Calculateur!V166*Calculateur!X166*VLOOKUP('Données projet'!$B$9,Paramètres!$A$1:$I$89,3,0)*0.475*44/12</f>
        <v>24.935809844344043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66.084915105075709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1.3301360013429075E-13</v>
      </c>
      <c r="AK166" s="13">
        <f t="shared" si="164"/>
        <v>1.9329766731057041E-12</v>
      </c>
      <c r="AL166" s="20">
        <f t="shared" si="165"/>
        <v>3.5982663925596575E-12</v>
      </c>
      <c r="AM166" s="59">
        <f t="shared" si="113"/>
        <v>288.04417668715581</v>
      </c>
      <c r="AN166" s="59">
        <f ca="1">AVERAGE(OFFSET($AM$3,0,0,'Données projet'!$E$10+1,1))-AVERAGE(OFFSET($H$3,0,0,'Données projet'!$E$10+1,1))</f>
        <v>381.55743422692029</v>
      </c>
      <c r="AO166" s="59">
        <f t="shared" si="144"/>
        <v>360.34132229290537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31.517594027048343</v>
      </c>
      <c r="AV166" s="21">
        <f>EXP(-LN(2)/25)*AV165+(1-EXP(-LN(2)/25))/(LN(2)/25)*Calculateur!AQ166*Calculateur!AS166*VLOOKUP('Données projet'!$B$10,Paramètres!$A$1:$I$89,3,0)*0.475*44/12</f>
        <v>2.499417235224886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34.017011262273229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-70</v>
      </c>
      <c r="BE166" s="13">
        <f>BD166*VLOOKUP('Données projet'!$B$11,Paramètres!$A$1:$I$89,3,0)*VLOOKUP('Données projet'!$B$11,Paramètres!$A$1:$I$89,5,0)</f>
        <v>-56.783999999999999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99.41315989132292</v>
      </c>
      <c r="BJ166" s="59">
        <f t="shared" si="146"/>
        <v>111.63051055870588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6.4282978068211731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6.4282978068211731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7.4</v>
      </c>
      <c r="N167" s="13">
        <f>IF('Données projet'!$A$36&gt;35,N166+M167-V166,IF(A167&lt;'Données projet'!$A$36,$K$205^A167,IF(A167='Données projet'!$A$36,'Données projet'!$B$36,N166+M167-V166)))</f>
        <v>399.59999999999957</v>
      </c>
      <c r="O167" s="13">
        <f>N167*VLOOKUP('Données projet'!$B$9,Paramètres!$A$1:$I$89,3,0)*VLOOKUP('Données projet'!$B$9,Paramètres!$A$1:$I$89,5,0)</f>
        <v>361.55807999999962</v>
      </c>
      <c r="P167" s="13">
        <f t="shared" si="141"/>
        <v>83.937921106491814</v>
      </c>
      <c r="Q167" s="20">
        <f t="shared" si="162"/>
        <v>775.90553526047267</v>
      </c>
      <c r="R167" s="59">
        <f t="shared" si="109"/>
        <v>1064.0414669906534</v>
      </c>
      <c r="S167" s="59">
        <f ca="1">AVERAGE(OFFSET($R$3,0,0,'Données projet'!$E$9+1,1))-AVERAGE(OFFSET($H$3,0,0,'Données projet'!$E$9+1,1))</f>
        <v>474.39725570496114</v>
      </c>
      <c r="T167" s="59">
        <f t="shared" si="142"/>
        <v>196.13536593828755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40.34219640504466</v>
      </c>
      <c r="AA167" s="21">
        <f>EXP(-LN(2)/25)*AA166+(1-EXP(-LN(2)/25))/(LN(2)/25)*Calculateur!V167*Calculateur!X167*VLOOKUP('Données projet'!$B$9,Paramètres!$A$1:$I$89,3,0)*0.475*44/12</f>
        <v>24.253938812833205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64.596135217877872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1.3301360013429075E-13</v>
      </c>
      <c r="AK167" s="13">
        <f t="shared" si="164"/>
        <v>1.9329766731057041E-12</v>
      </c>
      <c r="AL167" s="20">
        <f t="shared" si="165"/>
        <v>3.5982663925596575E-12</v>
      </c>
      <c r="AM167" s="59">
        <f t="shared" si="113"/>
        <v>288.13593173018427</v>
      </c>
      <c r="AN167" s="59">
        <f ca="1">AVERAGE(OFFSET($AM$3,0,0,'Données projet'!$E$10+1,1))-AVERAGE(OFFSET($H$3,0,0,'Données projet'!$E$10+1,1))</f>
        <v>381.55743422692029</v>
      </c>
      <c r="AO167" s="59">
        <f t="shared" si="144"/>
        <v>360.34132229290537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30.899553232012085</v>
      </c>
      <c r="AV167" s="21">
        <f>EXP(-LN(2)/25)*AV166+(1-EXP(-LN(2)/25))/(LN(2)/25)*Calculateur!AQ167*Calculateur!AS167*VLOOKUP('Données projet'!$B$10,Paramètres!$A$1:$I$89,3,0)*0.475*44/12</f>
        <v>2.4310705394890215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33.330623771501109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-70</v>
      </c>
      <c r="BE167" s="13">
        <f>BD167*VLOOKUP('Données projet'!$B$11,Paramètres!$A$1:$I$89,3,0)*VLOOKUP('Données projet'!$B$11,Paramètres!$A$1:$I$89,5,0)</f>
        <v>-56.783999999999999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99.41315989132292</v>
      </c>
      <c r="BJ167" s="59">
        <f t="shared" si="146"/>
        <v>111.63051055870588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6.3022428077039176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6.3022428077039176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>
        <f>VLOOKUP(A168,'Données projet'!$A$35:$I$55,2,0)</f>
        <v>407</v>
      </c>
      <c r="L168" s="12">
        <f>VLOOKUP(A168,'Données projet'!$A$35:$I$55,9,0)</f>
        <v>7.4</v>
      </c>
      <c r="M168" s="12">
        <f t="array" ref="M168">INDEX(L:L,MIN(IF(ISNUMBER(L168:L364),ROW(L168:L364),"")))</f>
        <v>7.4</v>
      </c>
      <c r="N168" s="13">
        <f>IF('Données projet'!$A$36&gt;35,N167+M168-V167,IF(A168&lt;'Données projet'!$A$36,$K$205^A168,IF(A168='Données projet'!$A$36,'Données projet'!$B$36,N167+M168-V167)))</f>
        <v>406.99999999999955</v>
      </c>
      <c r="O168" s="13">
        <f>N168*VLOOKUP('Données projet'!$B$9,Paramètres!$A$1:$I$89,3,0)*VLOOKUP('Données projet'!$B$9,Paramètres!$A$1:$I$89,5,0)</f>
        <v>368.25359999999955</v>
      </c>
      <c r="P168" s="13">
        <f t="shared" si="141"/>
        <v>85.309924004420566</v>
      </c>
      <c r="Q168" s="20">
        <f t="shared" si="162"/>
        <v>789.95647097436506</v>
      </c>
      <c r="R168" s="59">
        <f t="shared" si="109"/>
        <v>1078.1825660027112</v>
      </c>
      <c r="S168" s="59">
        <f ca="1">AVERAGE(OFFSET($R$3,0,0,'Données projet'!$E$9+1,1))-AVERAGE(OFFSET($H$3,0,0,'Données projet'!$E$9+1,1))</f>
        <v>474.39725570496114</v>
      </c>
      <c r="T168" s="59">
        <f t="shared" si="142"/>
        <v>196.13536593828755</v>
      </c>
      <c r="U168" s="15">
        <f>IF(ISNA(VLOOKUP(A168,'Données projet'!$A$35:$I$55,3,0)),0,VLOOKUP(A168,'Données projet'!$A$35:$I$55,3,0))</f>
        <v>14</v>
      </c>
      <c r="V168" s="15">
        <f>IF(ISNA(VLOOKUP(A168,'Données projet'!$A$35:$I$55,4,0)),0,VLOOKUP(A168,'Données projet'!$A$35:$I$55,4,0))</f>
        <v>45</v>
      </c>
      <c r="W168" s="16">
        <f>IF(ISNA(VLOOKUP(A168,'Données projet'!$A$35:$I$55,5,0)),0%,VLOOKUP(A168,'Données projet'!$A$35:$I$55,5,0)*VLOOKUP('Données projet'!$B$9,Paramètres!$A$1:$I$89,7,0))</f>
        <v>0.43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58.905553288269218</v>
      </c>
      <c r="AA168" s="21">
        <f>EXP(-LN(2)/25)*AA167+(1-EXP(-LN(2)/25))/(LN(2)/25)*Calculateur!V168*Calculateur!X168*VLOOKUP('Données projet'!$B$9,Paramètres!$A$1:$I$89,3,0)*0.475*44/12</f>
        <v>23.590713580537074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82.496266868806288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1.3301360013429075E-13</v>
      </c>
      <c r="AK168" s="13">
        <f t="shared" si="164"/>
        <v>1.9329766731057041E-12</v>
      </c>
      <c r="AL168" s="20">
        <f t="shared" si="165"/>
        <v>3.5982663925596575E-12</v>
      </c>
      <c r="AM168" s="59">
        <f t="shared" si="113"/>
        <v>288.22609502834973</v>
      </c>
      <c r="AN168" s="59">
        <f ca="1">AVERAGE(OFFSET($AM$3,0,0,'Données projet'!$E$10+1,1))-AVERAGE(OFFSET($H$3,0,0,'Données projet'!$E$10+1,1))</f>
        <v>381.55743422692029</v>
      </c>
      <c r="AO168" s="59">
        <f t="shared" si="144"/>
        <v>360.34132229290537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30.293631839998827</v>
      </c>
      <c r="AV168" s="21">
        <f>EXP(-LN(2)/25)*AV167+(1-EXP(-LN(2)/25))/(LN(2)/25)*Calculateur!AQ168*Calculateur!AS168*VLOOKUP('Données projet'!$B$10,Paramètres!$A$1:$I$89,3,0)*0.475*44/12</f>
        <v>2.364592787742251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32.658224627741077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-70</v>
      </c>
      <c r="BE168" s="13">
        <f>BD168*VLOOKUP('Données projet'!$B$11,Paramètres!$A$1:$I$89,3,0)*VLOOKUP('Données projet'!$B$11,Paramètres!$A$1:$I$89,5,0)</f>
        <v>-56.783999999999999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99.41315989132292</v>
      </c>
      <c r="BJ168" s="59">
        <f t="shared" si="146"/>
        <v>111.63051055870588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6.1786596702333938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6.1786596702333938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17.2</v>
      </c>
      <c r="N169" s="13">
        <f>IF('Données projet'!$A$36&gt;35,N168+M169-V168,IF(A169&lt;'Données projet'!$A$36,$K$205^A169,IF(A169='Données projet'!$A$36,'Données projet'!$B$36,N168+M169-V168)))</f>
        <v>379.19999999999953</v>
      </c>
      <c r="O169" s="13">
        <f>N169*VLOOKUP('Données projet'!$B$9,Paramètres!$A$1:$I$89,3,0)*VLOOKUP('Données projet'!$B$9,Paramètres!$A$1:$I$89,5,0)</f>
        <v>343.10015999999956</v>
      </c>
      <c r="P169" s="13">
        <f t="shared" si="141"/>
        <v>80.140120350085823</v>
      </c>
      <c r="Q169" s="20">
        <f t="shared" si="162"/>
        <v>737.14348827639867</v>
      </c>
      <c r="R169" s="59">
        <f t="shared" si="109"/>
        <v>1025.458182471262</v>
      </c>
      <c r="S169" s="59">
        <f ca="1">AVERAGE(OFFSET($R$3,0,0,'Données projet'!$E$9+1,1))-AVERAGE(OFFSET($H$3,0,0,'Données projet'!$E$9+1,1))</f>
        <v>474.39725570496114</v>
      </c>
      <c r="T169" s="59">
        <f t="shared" si="142"/>
        <v>196.13536593828755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57.750451317126085</v>
      </c>
      <c r="AA169" s="21">
        <f>EXP(-LN(2)/25)*AA168+(1-EXP(-LN(2)/25))/(LN(2)/25)*Calculateur!V169*Calculateur!X169*VLOOKUP('Données projet'!$B$9,Paramètres!$A$1:$I$89,3,0)*0.475*44/12</f>
        <v>22.945624277095579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80.696075594221668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1.3301360013429075E-13</v>
      </c>
      <c r="AK169" s="13">
        <f t="shared" si="164"/>
        <v>1.9329766731057041E-12</v>
      </c>
      <c r="AL169" s="20">
        <f t="shared" si="165"/>
        <v>3.5982663925596575E-12</v>
      </c>
      <c r="AM169" s="59">
        <f t="shared" si="113"/>
        <v>288.314694194867</v>
      </c>
      <c r="AN169" s="59">
        <f ca="1">AVERAGE(OFFSET($AM$3,0,0,'Données projet'!$E$10+1,1))-AVERAGE(OFFSET($H$3,0,0,'Données projet'!$E$10+1,1))</f>
        <v>381.55743422692029</v>
      </c>
      <c r="AO169" s="59">
        <f t="shared" si="144"/>
        <v>360.34132229290537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29.699592196907393</v>
      </c>
      <c r="AV169" s="21">
        <f>EXP(-LN(2)/25)*AV168+(1-EXP(-LN(2)/25))/(LN(2)/25)*Calculateur!AQ169*Calculateur!AS169*VLOOKUP('Données projet'!$B$10,Paramètres!$A$1:$I$89,3,0)*0.475*44/12</f>
        <v>2.2999328736129088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31.999525070520303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-70</v>
      </c>
      <c r="BE169" s="13">
        <f>BD169*VLOOKUP('Données projet'!$B$11,Paramètres!$A$1:$I$89,3,0)*VLOOKUP('Données projet'!$B$11,Paramètres!$A$1:$I$89,5,0)</f>
        <v>-56.783999999999999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99.41315989132292</v>
      </c>
      <c r="BJ169" s="59">
        <f t="shared" si="146"/>
        <v>111.63051055870588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6.0574999227103961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6.0574999227103961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17.2</v>
      </c>
      <c r="N170" s="13">
        <f>IF('Données projet'!$A$36&gt;35,N169+M170-V169,IF(A170&lt;'Données projet'!$A$36,$K$205^A170,IF(A170='Données projet'!$A$36,'Données projet'!$B$36,N169+M170-V169)))</f>
        <v>396.39999999999952</v>
      </c>
      <c r="O170" s="13">
        <f>N170*VLOOKUP('Données projet'!$B$9,Paramètres!$A$1:$I$89,3,0)*VLOOKUP('Données projet'!$B$9,Paramètres!$A$1:$I$89,5,0)</f>
        <v>358.66271999999952</v>
      </c>
      <c r="P170" s="13">
        <f t="shared" si="141"/>
        <v>83.343709154408032</v>
      </c>
      <c r="Q170" s="20">
        <f t="shared" si="162"/>
        <v>769.82786411059317</v>
      </c>
      <c r="R170" s="59">
        <f t="shared" si="109"/>
        <v>1058.2296204745128</v>
      </c>
      <c r="S170" s="59">
        <f ca="1">AVERAGE(OFFSET($R$3,0,0,'Données projet'!$E$9+1,1))-AVERAGE(OFFSET($H$3,0,0,'Données projet'!$E$9+1,1))</f>
        <v>474.39725570496114</v>
      </c>
      <c r="T170" s="59">
        <f t="shared" si="142"/>
        <v>196.13536593828755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56.618000191094438</v>
      </c>
      <c r="AA170" s="21">
        <f>EXP(-LN(2)/25)*AA169+(1-EXP(-LN(2)/25))/(LN(2)/25)*Calculateur!V170*Calculateur!X170*VLOOKUP('Données projet'!$B$9,Paramètres!$A$1:$I$89,3,0)*0.475*44/12</f>
        <v>22.318174974580462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78.936175165674896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1.3301360013429075E-13</v>
      </c>
      <c r="AK170" s="13">
        <f t="shared" si="164"/>
        <v>1.9329766731057041E-12</v>
      </c>
      <c r="AL170" s="20">
        <f t="shared" si="165"/>
        <v>3.5982663925596575E-12</v>
      </c>
      <c r="AM170" s="59">
        <f t="shared" si="113"/>
        <v>288.4017563639232</v>
      </c>
      <c r="AN170" s="59">
        <f ca="1">AVERAGE(OFFSET($AM$3,0,0,'Données projet'!$E$10+1,1))-AVERAGE(OFFSET($H$3,0,0,'Données projet'!$E$10+1,1))</f>
        <v>381.55743422692029</v>
      </c>
      <c r="AO170" s="59">
        <f t="shared" si="144"/>
        <v>360.34132229290537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29.117201308888575</v>
      </c>
      <c r="AV170" s="21">
        <f>EXP(-LN(2)/25)*AV169+(1-EXP(-LN(2)/25))/(LN(2)/25)*Calculateur!AQ170*Calculateur!AS170*VLOOKUP('Données projet'!$B$10,Paramètres!$A$1:$I$89,3,0)*0.475*44/12</f>
        <v>2.2370410882357503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31.354242397124324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-70</v>
      </c>
      <c r="BE170" s="13">
        <f>BD170*VLOOKUP('Données projet'!$B$11,Paramètres!$A$1:$I$89,3,0)*VLOOKUP('Données projet'!$B$11,Paramètres!$A$1:$I$89,5,0)</f>
        <v>-56.783999999999999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99.41315989132292</v>
      </c>
      <c r="BJ170" s="59">
        <f t="shared" si="146"/>
        <v>111.63051055870588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5.9387160439361759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5.9387160439361759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17.2</v>
      </c>
      <c r="N171" s="13">
        <f>IF('Données projet'!$A$36&gt;35,N170+M171-V170,IF(A171&lt;'Données projet'!$A$36,$K$205^A171,IF(A171='Données projet'!$A$36,'Données projet'!$B$36,N170+M171-V170)))</f>
        <v>413.59999999999951</v>
      </c>
      <c r="O171" s="13">
        <f>N171*VLOOKUP('Données projet'!$B$9,Paramètres!$A$1:$I$89,3,0)*VLOOKUP('Données projet'!$B$9,Paramètres!$A$1:$I$89,5,0)</f>
        <v>374.22527999999954</v>
      </c>
      <c r="P171" s="13">
        <f t="shared" si="141"/>
        <v>86.531153175871182</v>
      </c>
      <c r="Q171" s="20">
        <f t="shared" si="162"/>
        <v>802.48412111464143</v>
      </c>
      <c r="R171" s="59">
        <f t="shared" si="109"/>
        <v>1090.971429313626</v>
      </c>
      <c r="S171" s="59">
        <f ca="1">AVERAGE(OFFSET($R$3,0,0,'Données projet'!$E$9+1,1))-AVERAGE(OFFSET($H$3,0,0,'Données projet'!$E$9+1,1))</f>
        <v>474.39725570496114</v>
      </c>
      <c r="T171" s="59">
        <f t="shared" si="142"/>
        <v>196.13536593828755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55.50775574091729</v>
      </c>
      <c r="AA171" s="21">
        <f>EXP(-LN(2)/25)*AA170+(1-EXP(-LN(2)/25))/(LN(2)/25)*Calculateur!V171*Calculateur!X171*VLOOKUP('Données projet'!$B$9,Paramètres!$A$1:$I$89,3,0)*0.475*44/12</f>
        <v>21.707883306238745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77.215639047156031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1.3301360013429075E-13</v>
      </c>
      <c r="AK171" s="13">
        <f t="shared" si="164"/>
        <v>1.9329766731057041E-12</v>
      </c>
      <c r="AL171" s="20">
        <f t="shared" si="165"/>
        <v>3.5982663925596575E-12</v>
      </c>
      <c r="AM171" s="59">
        <f t="shared" si="113"/>
        <v>288.4873081989881</v>
      </c>
      <c r="AN171" s="59">
        <f ca="1">AVERAGE(OFFSET($AM$3,0,0,'Données projet'!$E$10+1,1))-AVERAGE(OFFSET($H$3,0,0,'Données projet'!$E$10+1,1))</f>
        <v>381.55743422692029</v>
      </c>
      <c r="AO171" s="59">
        <f t="shared" si="144"/>
        <v>360.34132229290537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28.54623075096044</v>
      </c>
      <c r="AV171" s="21">
        <f>EXP(-LN(2)/25)*AV170+(1-EXP(-LN(2)/25))/(LN(2)/25)*Calculateur!AQ171*Calculateur!AS171*VLOOKUP('Données projet'!$B$10,Paramètres!$A$1:$I$89,3,0)*0.475*44/12</f>
        <v>2.1758690820370656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30.722099832997507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-70</v>
      </c>
      <c r="BE171" s="13">
        <f>BD171*VLOOKUP('Données projet'!$B$11,Paramètres!$A$1:$I$89,3,0)*VLOOKUP('Données projet'!$B$11,Paramètres!$A$1:$I$89,5,0)</f>
        <v>-56.783999999999999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99.41315989132292</v>
      </c>
      <c r="BJ171" s="59">
        <f t="shared" si="146"/>
        <v>111.63051055870588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5.822261444573706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5.822261444573706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17.2</v>
      </c>
      <c r="N172" s="13">
        <f>IF('Données projet'!$A$36&gt;35,N171+M172-V171,IF(A172&lt;'Données projet'!$A$36,$K$205^A172,IF(A172='Données projet'!$A$36,'Données projet'!$B$36,N171+M172-V171)))</f>
        <v>430.7999999999995</v>
      </c>
      <c r="O172" s="13">
        <f>N172*VLOOKUP('Données projet'!$B$9,Paramètres!$A$1:$I$89,3,0)*VLOOKUP('Données projet'!$B$9,Paramètres!$A$1:$I$89,5,0)</f>
        <v>389.78783999999951</v>
      </c>
      <c r="P172" s="13">
        <f t="shared" si="141"/>
        <v>89.703200591937403</v>
      </c>
      <c r="Q172" s="20">
        <f t="shared" si="162"/>
        <v>835.11356236429003</v>
      </c>
      <c r="R172" s="59">
        <f t="shared" si="109"/>
        <v>1123.6849382652665</v>
      </c>
      <c r="S172" s="59">
        <f ca="1">AVERAGE(OFFSET($R$3,0,0,'Données projet'!$E$9+1,1))-AVERAGE(OFFSET($H$3,0,0,'Données projet'!$E$9+1,1))</f>
        <v>474.39725570496114</v>
      </c>
      <c r="T172" s="59">
        <f t="shared" si="142"/>
        <v>196.13536593828755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54.419282507225866</v>
      </c>
      <c r="AA172" s="21">
        <f>EXP(-LN(2)/25)*AA171+(1-EXP(-LN(2)/25))/(LN(2)/25)*Calculateur!V172*Calculateur!X172*VLOOKUP('Données projet'!$B$9,Paramètres!$A$1:$I$89,3,0)*0.475*44/12</f>
        <v>21.114280095661677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75.533562602887542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1.3301360013429075E-13</v>
      </c>
      <c r="AK172" s="13">
        <f t="shared" si="164"/>
        <v>1.9329766731057041E-12</v>
      </c>
      <c r="AL172" s="20">
        <f t="shared" si="165"/>
        <v>3.5982663925596575E-12</v>
      </c>
      <c r="AM172" s="59">
        <f t="shared" si="113"/>
        <v>288.57137590098</v>
      </c>
      <c r="AN172" s="59">
        <f ca="1">AVERAGE(OFFSET($AM$3,0,0,'Données projet'!$E$10+1,1))-AVERAGE(OFFSET($H$3,0,0,'Données projet'!$E$10+1,1))</f>
        <v>381.55743422692029</v>
      </c>
      <c r="AO172" s="59">
        <f t="shared" si="144"/>
        <v>360.34132229290537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27.986456577415623</v>
      </c>
      <c r="AV172" s="21">
        <f>EXP(-LN(2)/25)*AV171+(1-EXP(-LN(2)/25))/(LN(2)/25)*Calculateur!AQ172*Calculateur!AS172*VLOOKUP('Données projet'!$B$10,Paramètres!$A$1:$I$89,3,0)*0.475*44/12</f>
        <v>2.11636982756478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30.102826404980405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-70</v>
      </c>
      <c r="BE172" s="13">
        <f>BD172*VLOOKUP('Données projet'!$B$11,Paramètres!$A$1:$I$89,3,0)*VLOOKUP('Données projet'!$B$11,Paramètres!$A$1:$I$89,5,0)</f>
        <v>-56.783999999999999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99.41315989132292</v>
      </c>
      <c r="BJ172" s="59">
        <f t="shared" si="146"/>
        <v>111.63051055870588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5.7080904488744419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5.7080904488744419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>
        <f>VLOOKUP(A173,'Données projet'!$A$35:$I$55,2,0)</f>
        <v>448</v>
      </c>
      <c r="L173" s="12">
        <f>VLOOKUP(A173,'Données projet'!$A$35:$I$55,9,0)</f>
        <v>17.2</v>
      </c>
      <c r="M173" s="12">
        <f t="array" ref="M173">INDEX(L:L,MIN(IF(ISNUMBER(L173:L369),ROW(L173:L369),"")))</f>
        <v>17.2</v>
      </c>
      <c r="N173" s="13">
        <f>IF('Données projet'!$A$36&gt;35,N172+M173-V172,IF(A173&lt;'Données projet'!$A$36,$K$205^A173,IF(A173='Données projet'!$A$36,'Données projet'!$B$36,N172+M173-V172)))</f>
        <v>447.99999999999949</v>
      </c>
      <c r="O173" s="13">
        <f>N173*VLOOKUP('Données projet'!$B$9,Paramètres!$A$1:$I$89,3,0)*VLOOKUP('Données projet'!$B$9,Paramètres!$A$1:$I$89,5,0)</f>
        <v>405.35039999999952</v>
      </c>
      <c r="P173" s="13">
        <f t="shared" si="141"/>
        <v>92.860536455297648</v>
      </c>
      <c r="Q173" s="20">
        <f t="shared" si="162"/>
        <v>867.7173809929759</v>
      </c>
      <c r="R173" s="59">
        <f t="shared" si="109"/>
        <v>1156.3713662092619</v>
      </c>
      <c r="S173" s="59">
        <f ca="1">AVERAGE(OFFSET($R$3,0,0,'Données projet'!$E$9+1,1))-AVERAGE(OFFSET($H$3,0,0,'Données projet'!$E$9+1,1))</f>
        <v>474.39725570496114</v>
      </c>
      <c r="T173" s="59">
        <f t="shared" si="142"/>
        <v>196.13536593828755</v>
      </c>
      <c r="U173" s="15" t="str">
        <f>IF(ISNA(VLOOKUP(A173,'Données projet'!$A$35:$I$55,3,0)),0,VLOOKUP(A173,'Données projet'!$A$35:$I$55,3,0))</f>
        <v>CR</v>
      </c>
      <c r="V173" s="15">
        <f>IF(ISNA(VLOOKUP(A173,'Données projet'!$A$35:$I$55,4,0)),0,VLOOKUP(A173,'Données projet'!$A$35:$I$55,4,0))</f>
        <v>448</v>
      </c>
      <c r="W173" s="16">
        <f>IF(ISNA(VLOOKUP(A173,'Données projet'!$A$35:$I$55,5,0)),0%,VLOOKUP(A173,'Données projet'!$A$35:$I$55,5,0)*VLOOKUP('Données projet'!$B$9,Paramètres!$A$1:$I$89,7,0))</f>
        <v>0.43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246.03638359843225</v>
      </c>
      <c r="AA173" s="21">
        <f>EXP(-LN(2)/25)*AA172+(1-EXP(-LN(2)/25))/(LN(2)/25)*Calculateur!V173*Calculateur!X173*VLOOKUP('Données projet'!$B$9,Paramètres!$A$1:$I$89,3,0)*0.475*44/12</f>
        <v>20.536908996094077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266.57329259452632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1.3301360013429075E-13</v>
      </c>
      <c r="AK173" s="13">
        <f t="shared" si="164"/>
        <v>1.9329766731057041E-12</v>
      </c>
      <c r="AL173" s="20">
        <f t="shared" si="165"/>
        <v>3.5982663925596575E-12</v>
      </c>
      <c r="AM173" s="59">
        <f t="shared" si="113"/>
        <v>288.65398521628947</v>
      </c>
      <c r="AN173" s="59">
        <f ca="1">AVERAGE(OFFSET($AM$3,0,0,'Données projet'!$E$10+1,1))-AVERAGE(OFFSET($H$3,0,0,'Données projet'!$E$10+1,1))</f>
        <v>381.55743422692029</v>
      </c>
      <c r="AO173" s="59">
        <f t="shared" si="144"/>
        <v>360.34132229290537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27.437659233985489</v>
      </c>
      <c r="AV173" s="21">
        <f>EXP(-LN(2)/25)*AV172+(1-EXP(-LN(2)/25))/(LN(2)/25)*Calculateur!AQ173*Calculateur!AS173*VLOOKUP('Données projet'!$B$10,Paramètres!$A$1:$I$89,3,0)*0.475*44/12</f>
        <v>2.0584975833349688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29.496156817320458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-70</v>
      </c>
      <c r="BE173" s="13">
        <f>BD173*VLOOKUP('Données projet'!$B$11,Paramètres!$A$1:$I$89,3,0)*VLOOKUP('Données projet'!$B$11,Paramètres!$A$1:$I$89,5,0)</f>
        <v>-56.783999999999999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99.41315989132292</v>
      </c>
      <c r="BJ173" s="59">
        <f t="shared" si="146"/>
        <v>111.63051055870588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5.5961582767634095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5.5961582767634095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-5.1159076974727213E-13</v>
      </c>
      <c r="O174" s="13">
        <f>N174*VLOOKUP('Données projet'!$B$9,Paramètres!$A$1:$I$89,3,0)*VLOOKUP('Données projet'!$B$9,Paramètres!$A$1:$I$89,5,0)</f>
        <v>-4.6288732846733184E-13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474.39725570496114</v>
      </c>
      <c r="T174" s="59">
        <f t="shared" si="142"/>
        <v>196.13536593828755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241.21176018344306</v>
      </c>
      <c r="AA174" s="21">
        <f>EXP(-LN(2)/25)*AA173+(1-EXP(-LN(2)/25))/(LN(2)/25)*Calculateur!V174*Calculateur!X174*VLOOKUP('Données projet'!$B$9,Paramètres!$A$1:$I$89,3,0)*0.475*44/12</f>
        <v>19.975326139606778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261.18708632304981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1.3301360013429075E-13</v>
      </c>
      <c r="AK174" s="13">
        <f t="shared" si="164"/>
        <v>1.9329766731057041E-12</v>
      </c>
      <c r="AL174" s="20">
        <f t="shared" si="165"/>
        <v>3.5982663925596575E-12</v>
      </c>
      <c r="AM174" s="59">
        <f t="shared" si="113"/>
        <v>288.7351614446651</v>
      </c>
      <c r="AN174" s="59">
        <f ca="1">AVERAGE(OFFSET($AM$3,0,0,'Données projet'!$E$10+1,1))-AVERAGE(OFFSET($H$3,0,0,'Données projet'!$E$10+1,1))</f>
        <v>381.55743422692029</v>
      </c>
      <c r="AO174" s="59">
        <f t="shared" si="144"/>
        <v>360.34132229290537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26.899623471726692</v>
      </c>
      <c r="AV174" s="21">
        <f>EXP(-LN(2)/25)*AV173+(1-EXP(-LN(2)/25))/(LN(2)/25)*Calculateur!AQ174*Calculateur!AS174*VLOOKUP('Données projet'!$B$10,Paramètres!$A$1:$I$89,3,0)*0.475*44/12</f>
        <v>2.0022078586669911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28.901831330393684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-70</v>
      </c>
      <c r="BE174" s="13">
        <f>BD174*VLOOKUP('Données projet'!$B$11,Paramètres!$A$1:$I$89,3,0)*VLOOKUP('Données projet'!$B$11,Paramètres!$A$1:$I$89,5,0)</f>
        <v>-56.783999999999999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99.41315989132292</v>
      </c>
      <c r="BJ174" s="59">
        <f t="shared" si="146"/>
        <v>111.63051055870588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5.4864210262755906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5.4864210262755906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-5.1159076974727213E-13</v>
      </c>
      <c r="O175" s="13">
        <f>N175*VLOOKUP('Données projet'!$B$9,Paramètres!$A$1:$I$89,3,0)*VLOOKUP('Données projet'!$B$9,Paramètres!$A$1:$I$89,5,0)</f>
        <v>-4.6288732846733184E-13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474.39725570496114</v>
      </c>
      <c r="T175" s="59">
        <f t="shared" si="142"/>
        <v>196.13536593828755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236.4817446908921</v>
      </c>
      <c r="AA175" s="21">
        <f>EXP(-LN(2)/25)*AA174+(1-EXP(-LN(2)/25))/(LN(2)/25)*Calculateur!V175*Calculateur!X175*VLOOKUP('Données projet'!$B$9,Paramètres!$A$1:$I$89,3,0)*0.475*44/12</f>
        <v>19.429099795862484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255.91084448675457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1.3301360013429075E-13</v>
      </c>
      <c r="AK175" s="13">
        <f t="shared" si="164"/>
        <v>1.9329766731057041E-12</v>
      </c>
      <c r="AL175" s="20">
        <f t="shared" si="165"/>
        <v>3.5982663925596575E-12</v>
      </c>
      <c r="AM175" s="59">
        <f t="shared" si="113"/>
        <v>288.81492944696123</v>
      </c>
      <c r="AN175" s="59">
        <f ca="1">AVERAGE(OFFSET($AM$3,0,0,'Données projet'!$E$10+1,1))-AVERAGE(OFFSET($H$3,0,0,'Données projet'!$E$10+1,1))</f>
        <v>381.55743422692029</v>
      </c>
      <c r="AO175" s="59">
        <f t="shared" si="144"/>
        <v>360.34132229290537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26.372138262596376</v>
      </c>
      <c r="AV175" s="21">
        <f>EXP(-LN(2)/25)*AV174+(1-EXP(-LN(2)/25))/(LN(2)/25)*Calculateur!AQ175*Calculateur!AS175*VLOOKUP('Données projet'!$B$10,Paramètres!$A$1:$I$89,3,0)*0.475*44/12</f>
        <v>1.947457379480207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28.319595642076582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-70</v>
      </c>
      <c r="BE175" s="13">
        <f>BD175*VLOOKUP('Données projet'!$B$11,Paramètres!$A$1:$I$89,3,0)*VLOOKUP('Données projet'!$B$11,Paramètres!$A$1:$I$89,5,0)</f>
        <v>-56.783999999999999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99.41315989132292</v>
      </c>
      <c r="BJ175" s="59">
        <f t="shared" si="146"/>
        <v>111.63051055870588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5.3788356563367241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5.3788356563367241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-5.1159076974727213E-13</v>
      </c>
      <c r="O176" s="13">
        <f>N176*VLOOKUP('Données projet'!$B$9,Paramètres!$A$1:$I$89,3,0)*VLOOKUP('Données projet'!$B$9,Paramètres!$A$1:$I$89,5,0)</f>
        <v>-4.6288732846733184E-13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474.39725570496114</v>
      </c>
      <c r="T176" s="59">
        <f t="shared" si="142"/>
        <v>196.13536593828755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231.84448191712548</v>
      </c>
      <c r="AA176" s="21">
        <f>EXP(-LN(2)/25)*AA175+(1-EXP(-LN(2)/25))/(LN(2)/25)*Calculateur!V176*Calculateur!X176*VLOOKUP('Données projet'!$B$9,Paramètres!$A$1:$I$89,3,0)*0.475*44/12</f>
        <v>18.897810040212672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250.74229195733815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1.3301360013429075E-13</v>
      </c>
      <c r="AK176" s="13">
        <f t="shared" si="164"/>
        <v>1.9329766731057041E-12</v>
      </c>
      <c r="AL176" s="20">
        <f t="shared" si="165"/>
        <v>3.5982663925596575E-12</v>
      </c>
      <c r="AM176" s="59">
        <f t="shared" si="113"/>
        <v>288.89331365275206</v>
      </c>
      <c r="AN176" s="59">
        <f ca="1">AVERAGE(OFFSET($AM$3,0,0,'Données projet'!$E$10+1,1))-AVERAGE(OFFSET($H$3,0,0,'Données projet'!$E$10+1,1))</f>
        <v>381.55743422692029</v>
      </c>
      <c r="AO176" s="59">
        <f t="shared" si="144"/>
        <v>360.34132229290537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25.854996716682898</v>
      </c>
      <c r="AV176" s="21">
        <f>EXP(-LN(2)/25)*AV175+(1-EXP(-LN(2)/25))/(LN(2)/25)*Calculateur!AQ176*Calculateur!AS176*VLOOKUP('Données projet'!$B$10,Paramètres!$A$1:$I$89,3,0)*0.475*44/12</f>
        <v>1.8942040550259882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27.749200771708885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-70</v>
      </c>
      <c r="BE176" s="13">
        <f>BD176*VLOOKUP('Données projet'!$B$11,Paramètres!$A$1:$I$89,3,0)*VLOOKUP('Données projet'!$B$11,Paramètres!$A$1:$I$89,5,0)</f>
        <v>-56.783999999999999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99.41315989132292</v>
      </c>
      <c r="BJ176" s="59">
        <f t="shared" si="146"/>
        <v>111.63051055870588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5.2733599698817626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5.2733599698817626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-5.1159076974727213E-13</v>
      </c>
      <c r="O177" s="13">
        <f>N177*VLOOKUP('Données projet'!$B$9,Paramètres!$A$1:$I$89,3,0)*VLOOKUP('Données projet'!$B$9,Paramètres!$A$1:$I$89,5,0)</f>
        <v>-4.6288732846733184E-13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474.39725570496114</v>
      </c>
      <c r="T177" s="59">
        <f t="shared" si="142"/>
        <v>196.13536593828755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227.29815303790141</v>
      </c>
      <c r="AA177" s="21">
        <f>EXP(-LN(2)/25)*AA176+(1-EXP(-LN(2)/25))/(LN(2)/25)*Calculateur!V177*Calculateur!X177*VLOOKUP('Données projet'!$B$9,Paramètres!$A$1:$I$89,3,0)*0.475*44/12</f>
        <v>18.381048430870418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245.67920146877182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1.3301360013429075E-13</v>
      </c>
      <c r="AK177" s="13">
        <f t="shared" si="164"/>
        <v>1.9329766731057041E-12</v>
      </c>
      <c r="AL177" s="20">
        <f t="shared" si="165"/>
        <v>3.5982663925596575E-12</v>
      </c>
      <c r="AM177" s="59">
        <f t="shared" si="113"/>
        <v>288.97033806781332</v>
      </c>
      <c r="AN177" s="59">
        <f ca="1">AVERAGE(OFFSET($AM$3,0,0,'Données projet'!$E$10+1,1))-AVERAGE(OFFSET($H$3,0,0,'Données projet'!$E$10+1,1))</f>
        <v>381.55743422692029</v>
      </c>
      <c r="AO177" s="59">
        <f t="shared" si="144"/>
        <v>360.34132229290537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25.347996001059585</v>
      </c>
      <c r="AV177" s="21">
        <f>EXP(-LN(2)/25)*AV176+(1-EXP(-LN(2)/25))/(LN(2)/25)*Calculateur!AQ177*Calculateur!AS177*VLOOKUP('Données projet'!$B$10,Paramètres!$A$1:$I$89,3,0)*0.475*44/12</f>
        <v>1.8424069455294405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27.190402946589025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-70</v>
      </c>
      <c r="BE177" s="13">
        <f>BD177*VLOOKUP('Données projet'!$B$11,Paramètres!$A$1:$I$89,3,0)*VLOOKUP('Données projet'!$B$11,Paramètres!$A$1:$I$89,5,0)</f>
        <v>-56.783999999999999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99.41315989132292</v>
      </c>
      <c r="BJ177" s="59">
        <f t="shared" si="146"/>
        <v>111.63051055870588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5.1699525973043663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5.1699525973043663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-5.1159076974727213E-13</v>
      </c>
      <c r="O178" s="13">
        <f>N178*VLOOKUP('Données projet'!$B$9,Paramètres!$A$1:$I$89,3,0)*VLOOKUP('Données projet'!$B$9,Paramètres!$A$1:$I$89,5,0)</f>
        <v>-4.6288732846733184E-13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474.39725570496114</v>
      </c>
      <c r="T178" s="59">
        <f t="shared" si="142"/>
        <v>196.13536593828755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222.84097489501212</v>
      </c>
      <c r="AA178" s="21">
        <f>EXP(-LN(2)/25)*AA177+(1-EXP(-LN(2)/25))/(LN(2)/25)*Calculateur!V178*Calculateur!X178*VLOOKUP('Données projet'!$B$9,Paramètres!$A$1:$I$89,3,0)*0.475*44/12</f>
        <v>17.87841769491094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240.71939258992307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1.3301360013429075E-13</v>
      </c>
      <c r="AK178" s="13">
        <f t="shared" si="164"/>
        <v>1.9329766731057041E-12</v>
      </c>
      <c r="AL178" s="20">
        <f t="shared" si="165"/>
        <v>3.5982663925596575E-12</v>
      </c>
      <c r="AM178" s="59">
        <f t="shared" si="113"/>
        <v>289.04602628147398</v>
      </c>
      <c r="AN178" s="59">
        <f ca="1">AVERAGE(OFFSET($AM$3,0,0,'Données projet'!$E$10+1,1))-AVERAGE(OFFSET($H$3,0,0,'Données projet'!$E$10+1,1))</f>
        <v>381.55743422692029</v>
      </c>
      <c r="AO178" s="59">
        <f t="shared" si="144"/>
        <v>360.34132229290537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24.850937260229745</v>
      </c>
      <c r="AV178" s="21">
        <f>EXP(-LN(2)/25)*AV177+(1-EXP(-LN(2)/25))/(LN(2)/25)*Calculateur!AQ178*Calculateur!AS178*VLOOKUP('Données projet'!$B$10,Paramètres!$A$1:$I$89,3,0)*0.475*44/12</f>
        <v>1.7920262307159676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26.642963490945714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-70</v>
      </c>
      <c r="BE178" s="13">
        <f>BD178*VLOOKUP('Données projet'!$B$11,Paramètres!$A$1:$I$89,3,0)*VLOOKUP('Données projet'!$B$11,Paramètres!$A$1:$I$89,5,0)</f>
        <v>-56.783999999999999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99.41315989132292</v>
      </c>
      <c r="BJ178" s="59">
        <f t="shared" si="146"/>
        <v>111.63051055870588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5.068572980230944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5.068572980230944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-5.1159076974727213E-13</v>
      </c>
      <c r="O179" s="13">
        <f>N179*VLOOKUP('Données projet'!$B$9,Paramètres!$A$1:$I$89,3,0)*VLOOKUP('Données projet'!$B$9,Paramètres!$A$1:$I$89,5,0)</f>
        <v>-4.6288732846733184E-13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474.39725570496114</v>
      </c>
      <c r="T179" s="59">
        <f t="shared" si="142"/>
        <v>196.13536593828755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218.47119929689467</v>
      </c>
      <c r="AA179" s="21">
        <f>EXP(-LN(2)/25)*AA178+(1-EXP(-LN(2)/25))/(LN(2)/25)*Calculateur!V179*Calculateur!X179*VLOOKUP('Données projet'!$B$9,Paramètres!$A$1:$I$89,3,0)*0.475*44/12</f>
        <v>17.389531422858475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235.86073071975315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1.3301360013429075E-13</v>
      </c>
      <c r="AK179" s="13">
        <f t="shared" si="164"/>
        <v>1.9329766731057041E-12</v>
      </c>
      <c r="AL179" s="20">
        <f t="shared" si="165"/>
        <v>3.5982663925596575E-12</v>
      </c>
      <c r="AM179" s="59">
        <f t="shared" si="113"/>
        <v>289.12040147384118</v>
      </c>
      <c r="AN179" s="59">
        <f ca="1">AVERAGE(OFFSET($AM$3,0,0,'Données projet'!$E$10+1,1))-AVERAGE(OFFSET($H$3,0,0,'Données projet'!$E$10+1,1))</f>
        <v>381.55743422692029</v>
      </c>
      <c r="AO179" s="59">
        <f t="shared" si="144"/>
        <v>360.34132229290537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24.363625538131682</v>
      </c>
      <c r="AV179" s="21">
        <f>EXP(-LN(2)/25)*AV178+(1-EXP(-LN(2)/25))/(LN(2)/25)*Calculateur!AQ179*Calculateur!AS179*VLOOKUP('Données projet'!$B$10,Paramètres!$A$1:$I$89,3,0)*0.475*44/12</f>
        <v>1.7430231791984756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26.10664871733016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-70</v>
      </c>
      <c r="BE179" s="13">
        <f>BD179*VLOOKUP('Données projet'!$B$11,Paramètres!$A$1:$I$89,3,0)*VLOOKUP('Données projet'!$B$11,Paramètres!$A$1:$I$89,5,0)</f>
        <v>-56.783999999999999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99.41315989132292</v>
      </c>
      <c r="BJ179" s="59">
        <f t="shared" si="146"/>
        <v>111.63051055870588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4.9691813556128706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4.9691813556128706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-5.1159076974727213E-13</v>
      </c>
      <c r="O180" s="13">
        <f>N180*VLOOKUP('Données projet'!$B$9,Paramètres!$A$1:$I$89,3,0)*VLOOKUP('Données projet'!$B$9,Paramètres!$A$1:$I$89,5,0)</f>
        <v>-4.6288732846733184E-13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474.39725570496114</v>
      </c>
      <c r="T180" s="59">
        <f t="shared" si="142"/>
        <v>196.13536593828755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214.18711233295636</v>
      </c>
      <c r="AA180" s="21">
        <f>EXP(-LN(2)/25)*AA179+(1-EXP(-LN(2)/25))/(LN(2)/25)*Calculateur!V180*Calculateur!X180*VLOOKUP('Données projet'!$B$9,Paramètres!$A$1:$I$89,3,0)*0.475*44/12</f>
        <v>16.914013771624695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231.10112610458106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1.3301360013429075E-13</v>
      </c>
      <c r="AK180" s="13">
        <f t="shared" si="164"/>
        <v>1.9329766731057041E-12</v>
      </c>
      <c r="AL180" s="20">
        <f t="shared" si="165"/>
        <v>3.5982663925596575E-12</v>
      </c>
      <c r="AM180" s="59">
        <f t="shared" si="113"/>
        <v>289.19348642289884</v>
      </c>
      <c r="AN180" s="59">
        <f ca="1">AVERAGE(OFFSET($AM$3,0,0,'Données projet'!$E$10+1,1))-AVERAGE(OFFSET($H$3,0,0,'Données projet'!$E$10+1,1))</f>
        <v>381.55743422692029</v>
      </c>
      <c r="AO180" s="59">
        <f t="shared" si="144"/>
        <v>360.34132229290537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23.885869701673162</v>
      </c>
      <c r="AV180" s="21">
        <f>EXP(-LN(2)/25)*AV179+(1-EXP(-LN(2)/25))/(LN(2)/25)*Calculateur!AQ180*Calculateur!AS180*VLOOKUP('Données projet'!$B$10,Paramètres!$A$1:$I$89,3,0)*0.475*44/12</f>
        <v>1.695360118701688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25.581229820374851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-70</v>
      </c>
      <c r="BE180" s="13">
        <f>BD180*VLOOKUP('Données projet'!$B$11,Paramètres!$A$1:$I$89,3,0)*VLOOKUP('Données projet'!$B$11,Paramètres!$A$1:$I$89,5,0)</f>
        <v>-56.783999999999999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99.41315989132292</v>
      </c>
      <c r="BJ180" s="59">
        <f t="shared" si="146"/>
        <v>111.63051055870588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4.8717387401306524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4.8717387401306524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-5.1159076974727213E-13</v>
      </c>
      <c r="O181" s="13">
        <f>N181*VLOOKUP('Données projet'!$B$9,Paramètres!$A$1:$I$89,3,0)*VLOOKUP('Données projet'!$B$9,Paramètres!$A$1:$I$89,5,0)</f>
        <v>-4.6288732846733184E-13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474.39725570496114</v>
      </c>
      <c r="T181" s="59">
        <f t="shared" si="142"/>
        <v>196.13536593828755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209.98703370134587</v>
      </c>
      <c r="AA181" s="21">
        <f>EXP(-LN(2)/25)*AA180+(1-EXP(-LN(2)/25))/(LN(2)/25)*Calculateur!V181*Calculateur!X181*VLOOKUP('Données projet'!$B$9,Paramètres!$A$1:$I$89,3,0)*0.475*44/12</f>
        <v>16.451499175570291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226.43853287691616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1.3301360013429075E-13</v>
      </c>
      <c r="AK181" s="13">
        <f t="shared" si="164"/>
        <v>1.9329766731057041E-12</v>
      </c>
      <c r="AL181" s="20">
        <f t="shared" si="165"/>
        <v>3.5982663925596575E-12</v>
      </c>
      <c r="AM181" s="59">
        <f t="shared" si="113"/>
        <v>289.26530351148375</v>
      </c>
      <c r="AN181" s="59">
        <f ca="1">AVERAGE(OFFSET($AM$3,0,0,'Données projet'!$E$10+1,1))-AVERAGE(OFFSET($H$3,0,0,'Données projet'!$E$10+1,1))</f>
        <v>381.55743422692029</v>
      </c>
      <c r="AO181" s="59">
        <f t="shared" si="144"/>
        <v>360.34132229290537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23.417482365765306</v>
      </c>
      <c r="AV181" s="21">
        <f>EXP(-LN(2)/25)*AV180+(1-EXP(-LN(2)/25))/(LN(2)/25)*Calculateur!AQ181*Calculateur!AS181*VLOOKUP('Données projet'!$B$10,Paramètres!$A$1:$I$89,3,0)*0.475*44/12</f>
        <v>1.6490004071006765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25.066482772865982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-70</v>
      </c>
      <c r="BE181" s="13">
        <f>BD181*VLOOKUP('Données projet'!$B$11,Paramètres!$A$1:$I$89,3,0)*VLOOKUP('Données projet'!$B$11,Paramètres!$A$1:$I$89,5,0)</f>
        <v>-56.783999999999999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99.41315989132292</v>
      </c>
      <c r="BJ181" s="59">
        <f t="shared" si="146"/>
        <v>111.63051055870588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4.7762069149039137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4.7762069149039137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-5.1159076974727213E-13</v>
      </c>
      <c r="O182" s="13">
        <f>N182*VLOOKUP('Données projet'!$B$9,Paramètres!$A$1:$I$89,3,0)*VLOOKUP('Données projet'!$B$9,Paramètres!$A$1:$I$89,5,0)</f>
        <v>-4.6288732846733184E-13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474.39725570496114</v>
      </c>
      <c r="T182" s="59">
        <f t="shared" si="142"/>
        <v>196.13536593828755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205.86931604990625</v>
      </c>
      <c r="AA182" s="21">
        <f>EXP(-LN(2)/25)*AA181+(1-EXP(-LN(2)/25))/(LN(2)/25)*Calculateur!V182*Calculateur!X182*VLOOKUP('Données projet'!$B$9,Paramètres!$A$1:$I$89,3,0)*0.475*44/12</f>
        <v>16.001632065467579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221.87094811537384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1.3301360013429075E-13</v>
      </c>
      <c r="AK182" s="13">
        <f t="shared" si="164"/>
        <v>1.9329766731057041E-12</v>
      </c>
      <c r="AL182" s="20">
        <f t="shared" si="165"/>
        <v>3.5982663925596575E-12</v>
      </c>
      <c r="AM182" s="59">
        <f t="shared" si="113"/>
        <v>289.3358747341407</v>
      </c>
      <c r="AN182" s="59">
        <f ca="1">AVERAGE(OFFSET($AM$3,0,0,'Données projet'!$E$10+1,1))-AVERAGE(OFFSET($H$3,0,0,'Données projet'!$E$10+1,1))</f>
        <v>381.55743422692029</v>
      </c>
      <c r="AO182" s="59">
        <f t="shared" si="144"/>
        <v>360.34132229290537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22.958279819826537</v>
      </c>
      <c r="AV182" s="21">
        <f>EXP(-LN(2)/25)*AV181+(1-EXP(-LN(2)/25))/(LN(2)/25)*Calculateur!AQ182*Calculateur!AS182*VLOOKUP('Données projet'!$B$10,Paramètres!$A$1:$I$89,3,0)*0.475*44/12</f>
        <v>1.6039084042513461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24.562188224077882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-70</v>
      </c>
      <c r="BE182" s="13">
        <f>BD182*VLOOKUP('Données projet'!$B$11,Paramètres!$A$1:$I$89,3,0)*VLOOKUP('Données projet'!$B$11,Paramètres!$A$1:$I$89,5,0)</f>
        <v>-56.783999999999999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99.41315989132292</v>
      </c>
      <c r="BJ182" s="59">
        <f t="shared" si="146"/>
        <v>111.63051055870588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4.6825484105012114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4.6825484105012114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-5.1159076974727213E-13</v>
      </c>
      <c r="O183" s="13">
        <f>N183*VLOOKUP('Données projet'!$B$9,Paramètres!$A$1:$I$89,3,0)*VLOOKUP('Données projet'!$B$9,Paramètres!$A$1:$I$89,5,0)</f>
        <v>-4.6288732846733184E-13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474.39725570496114</v>
      </c>
      <c r="T183" s="59">
        <f t="shared" si="142"/>
        <v>196.13536593828755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201.83234433005157</v>
      </c>
      <c r="AA183" s="21">
        <f>EXP(-LN(2)/25)*AA182+(1-EXP(-LN(2)/25))/(LN(2)/25)*Calculateur!V183*Calculateur!X183*VLOOKUP('Données projet'!$B$9,Paramètres!$A$1:$I$89,3,0)*0.475*44/12</f>
        <v>15.564066595148109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217.39641092519969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1.3301360013429075E-13</v>
      </c>
      <c r="AK183" s="13">
        <f t="shared" si="164"/>
        <v>1.9329766731057041E-12</v>
      </c>
      <c r="AL183" s="20">
        <f t="shared" si="165"/>
        <v>3.5982663925596575E-12</v>
      </c>
      <c r="AM183" s="59">
        <f t="shared" si="113"/>
        <v>289.40522170385822</v>
      </c>
      <c r="AN183" s="59">
        <f ca="1">AVERAGE(OFFSET($AM$3,0,0,'Données projet'!$E$10+1,1))-AVERAGE(OFFSET($H$3,0,0,'Données projet'!$E$10+1,1))</f>
        <v>381.55743422692029</v>
      </c>
      <c r="AO183" s="59">
        <f t="shared" si="144"/>
        <v>360.34132229290537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22.508081955727729</v>
      </c>
      <c r="AV183" s="21">
        <f>EXP(-LN(2)/25)*AV182+(1-EXP(-LN(2)/25))/(LN(2)/25)*Calculateur!AQ183*Calculateur!AS183*VLOOKUP('Données projet'!$B$10,Paramètres!$A$1:$I$89,3,0)*0.475*44/12</f>
        <v>1.5600494445912159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24.068131400318943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-70</v>
      </c>
      <c r="BE183" s="13">
        <f>BD183*VLOOKUP('Données projet'!$B$11,Paramètres!$A$1:$I$89,3,0)*VLOOKUP('Données projet'!$B$11,Paramètres!$A$1:$I$89,5,0)</f>
        <v>-56.783999999999999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99.41315989132292</v>
      </c>
      <c r="BJ183" s="59">
        <f t="shared" si="146"/>
        <v>111.63051055870588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4.5907264922437996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4.5907264922437996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-5.1159076974727213E-13</v>
      </c>
      <c r="O184" s="13">
        <f>N184*VLOOKUP('Données projet'!$B$9,Paramètres!$A$1:$I$89,3,0)*VLOOKUP('Données projet'!$B$9,Paramètres!$A$1:$I$89,5,0)</f>
        <v>-4.6288732846733184E-13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474.39725570496114</v>
      </c>
      <c r="T184" s="59">
        <f t="shared" si="142"/>
        <v>196.13536593828755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197.87453516331362</v>
      </c>
      <c r="AA184" s="21">
        <f>EXP(-LN(2)/25)*AA183+(1-EXP(-LN(2)/25))/(LN(2)/25)*Calculateur!V184*Calculateur!X184*VLOOKUP('Données projet'!$B$9,Paramètres!$A$1:$I$89,3,0)*0.475*44/12</f>
        <v>15.138466375625093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213.01300153893871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1.3301360013429075E-13</v>
      </c>
      <c r="AK184" s="13">
        <f t="shared" si="164"/>
        <v>1.9329766731057041E-12</v>
      </c>
      <c r="AL184" s="20">
        <f t="shared" si="165"/>
        <v>3.5982663925596575E-12</v>
      </c>
      <c r="AM184" s="59">
        <f t="shared" si="113"/>
        <v>289.47336565868767</v>
      </c>
      <c r="AN184" s="59">
        <f ca="1">AVERAGE(OFFSET($AM$3,0,0,'Données projet'!$E$10+1,1))-AVERAGE(OFFSET($H$3,0,0,'Données projet'!$E$10+1,1))</f>
        <v>381.55743422692029</v>
      </c>
      <c r="AO184" s="59">
        <f t="shared" si="144"/>
        <v>360.34132229290537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22.066712197150316</v>
      </c>
      <c r="AV184" s="21">
        <f>EXP(-LN(2)/25)*AV183+(1-EXP(-LN(2)/25))/(LN(2)/25)*Calculateur!AQ184*Calculateur!AS184*VLOOKUP('Données projet'!$B$10,Paramètres!$A$1:$I$89,3,0)*0.475*44/12</f>
        <v>1.5173898104894343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23.58410200763975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-70</v>
      </c>
      <c r="BE184" s="13">
        <f>BD184*VLOOKUP('Données projet'!$B$11,Paramètres!$A$1:$I$89,3,0)*VLOOKUP('Données projet'!$B$11,Paramètres!$A$1:$I$89,5,0)</f>
        <v>-56.783999999999999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99.41315989132292</v>
      </c>
      <c r="BJ184" s="59">
        <f t="shared" si="146"/>
        <v>111.63051055870588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4.5007051457975757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4.5007051457975757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-5.1159076974727213E-13</v>
      </c>
      <c r="O185" s="13">
        <f>N185*VLOOKUP('Données projet'!$B$9,Paramètres!$A$1:$I$89,3,0)*VLOOKUP('Données projet'!$B$9,Paramètres!$A$1:$I$89,5,0)</f>
        <v>-4.6288732846733184E-13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474.39725570496114</v>
      </c>
      <c r="T185" s="59">
        <f t="shared" si="142"/>
        <v>196.13536593828755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193.9943362203102</v>
      </c>
      <c r="AA185" s="21">
        <f>EXP(-LN(2)/25)*AA184+(1-EXP(-LN(2)/25))/(LN(2)/25)*Calculateur!V185*Calculateur!X185*VLOOKUP('Données projet'!$B$9,Paramètres!$A$1:$I$89,3,0)*0.475*44/12</f>
        <v>14.724504216486277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208.71884043679648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1.3301360013429075E-13</v>
      </c>
      <c r="AK185" s="13">
        <f t="shared" si="164"/>
        <v>1.9329766731057041E-12</v>
      </c>
      <c r="AL185" s="20">
        <f t="shared" si="165"/>
        <v>3.5982663925596575E-12</v>
      </c>
      <c r="AM185" s="59">
        <f t="shared" si="113"/>
        <v>289.54032746824799</v>
      </c>
      <c r="AN185" s="59">
        <f ca="1">AVERAGE(OFFSET($AM$3,0,0,'Données projet'!$E$10+1,1))-AVERAGE(OFFSET($H$3,0,0,'Données projet'!$E$10+1,1))</f>
        <v>381.55743422692029</v>
      </c>
      <c r="AO185" s="59">
        <f t="shared" si="144"/>
        <v>360.34132229290537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21.633997430329636</v>
      </c>
      <c r="AV185" s="21">
        <f>EXP(-LN(2)/25)*AV184+(1-EXP(-LN(2)/25))/(LN(2)/25)*Calculateur!AQ185*Calculateur!AS185*VLOOKUP('Données projet'!$B$10,Paramètres!$A$1:$I$89,3,0)*0.475*44/12</f>
        <v>1.4758967063255386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23.109894136655175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-70</v>
      </c>
      <c r="BE185" s="13">
        <f>BD185*VLOOKUP('Données projet'!$B$11,Paramètres!$A$1:$I$89,3,0)*VLOOKUP('Données projet'!$B$11,Paramètres!$A$1:$I$89,5,0)</f>
        <v>-56.783999999999999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99.41315989132292</v>
      </c>
      <c r="BJ185" s="59">
        <f t="shared" si="146"/>
        <v>111.63051055870588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4.4124490630475623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4.4124490630475623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-5.1159076974727213E-13</v>
      </c>
      <c r="O186" s="13">
        <f>N186*VLOOKUP('Données projet'!$B$9,Paramètres!$A$1:$I$89,3,0)*VLOOKUP('Données projet'!$B$9,Paramètres!$A$1:$I$89,5,0)</f>
        <v>-4.6288732846733184E-13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474.39725570496114</v>
      </c>
      <c r="T186" s="59">
        <f t="shared" si="142"/>
        <v>196.13536593828755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190.19022561189141</v>
      </c>
      <c r="AA186" s="21">
        <f>EXP(-LN(2)/25)*AA185+(1-EXP(-LN(2)/25))/(LN(2)/25)*Calculateur!V186*Calculateur!X186*VLOOKUP('Données projet'!$B$9,Paramètres!$A$1:$I$89,3,0)*0.475*44/12</f>
        <v>14.321861874358436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204.51208748624984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1.3301360013429075E-13</v>
      </c>
      <c r="AK186" s="13">
        <f t="shared" si="164"/>
        <v>1.9329766731057041E-12</v>
      </c>
      <c r="AL186" s="20">
        <f t="shared" si="165"/>
        <v>3.5982663925596575E-12</v>
      </c>
      <c r="AM186" s="59">
        <f t="shared" si="113"/>
        <v>289.60612764011654</v>
      </c>
      <c r="AN186" s="59">
        <f ca="1">AVERAGE(OFFSET($AM$3,0,0,'Données projet'!$E$10+1,1))-AVERAGE(OFFSET($H$3,0,0,'Données projet'!$E$10+1,1))</f>
        <v>381.55743422692029</v>
      </c>
      <c r="AO186" s="59">
        <f t="shared" si="144"/>
        <v>360.34132229290537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21.209767936156364</v>
      </c>
      <c r="AV186" s="21">
        <f>EXP(-LN(2)/25)*AV185+(1-EXP(-LN(2)/25))/(LN(2)/25)*Calculateur!AQ186*Calculateur!AS186*VLOOKUP('Données projet'!$B$10,Paramètres!$A$1:$I$89,3,0)*0.475*44/12</f>
        <v>1.4355382332770321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22.645306169433397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-70</v>
      </c>
      <c r="BE186" s="13">
        <f>BD186*VLOOKUP('Données projet'!$B$11,Paramètres!$A$1:$I$89,3,0)*VLOOKUP('Données projet'!$B$11,Paramètres!$A$1:$I$89,5,0)</f>
        <v>-56.783999999999999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99.41315989132292</v>
      </c>
      <c r="BJ186" s="59">
        <f t="shared" si="146"/>
        <v>111.63051055870588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4.3259236282493818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4.3259236282493818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-5.1159076974727213E-13</v>
      </c>
      <c r="O187" s="13">
        <f>N187*VLOOKUP('Données projet'!$B$9,Paramètres!$A$1:$I$89,3,0)*VLOOKUP('Données projet'!$B$9,Paramètres!$A$1:$I$89,5,0)</f>
        <v>-4.6288732846733184E-13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474.39725570496114</v>
      </c>
      <c r="T187" s="59">
        <f t="shared" si="142"/>
        <v>196.13536593828755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186.46071129222534</v>
      </c>
      <c r="AA187" s="21">
        <f>EXP(-LN(2)/25)*AA186+(1-EXP(-LN(2)/25))/(LN(2)/25)*Calculateur!V187*Calculateur!X187*VLOOKUP('Données projet'!$B$9,Paramètres!$A$1:$I$89,3,0)*0.475*44/12</f>
        <v>13.930229808250122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200.39094110047546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1.3301360013429075E-13</v>
      </c>
      <c r="AK187" s="13">
        <f t="shared" si="164"/>
        <v>1.9329766731057041E-12</v>
      </c>
      <c r="AL187" s="20">
        <f t="shared" si="165"/>
        <v>3.5982663925596575E-12</v>
      </c>
      <c r="AM187" s="59">
        <f t="shared" si="113"/>
        <v>289.67078632611032</v>
      </c>
      <c r="AN187" s="59">
        <f ca="1">AVERAGE(OFFSET($AM$3,0,0,'Données projet'!$E$10+1,1))-AVERAGE(OFFSET($H$3,0,0,'Données projet'!$E$10+1,1))</f>
        <v>381.55743422692029</v>
      </c>
      <c r="AO187" s="59">
        <f t="shared" si="144"/>
        <v>360.34132229290537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20.793857323609387</v>
      </c>
      <c r="AV187" s="21">
        <f>EXP(-LN(2)/25)*AV186+(1-EXP(-LN(2)/25))/(LN(2)/25)*Calculateur!AQ187*Calculateur!AS187*VLOOKUP('Données projet'!$B$10,Paramètres!$A$1:$I$89,3,0)*0.475*44/12</f>
        <v>1.396283364796397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22.190140688405783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-70</v>
      </c>
      <c r="BE187" s="13">
        <f>BD187*VLOOKUP('Données projet'!$B$11,Paramètres!$A$1:$I$89,3,0)*VLOOKUP('Données projet'!$B$11,Paramètres!$A$1:$I$89,5,0)</f>
        <v>-56.783999999999999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99.41315989132292</v>
      </c>
      <c r="BJ187" s="59">
        <f t="shared" si="146"/>
        <v>111.63051055870588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4.2410949044522894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4.2410949044522894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-5.1159076974727213E-13</v>
      </c>
      <c r="O188" s="13">
        <f>N188*VLOOKUP('Données projet'!$B$9,Paramètres!$A$1:$I$89,3,0)*VLOOKUP('Données projet'!$B$9,Paramètres!$A$1:$I$89,5,0)</f>
        <v>-4.6288732846733184E-13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474.39725570496114</v>
      </c>
      <c r="T188" s="59">
        <f t="shared" si="142"/>
        <v>196.13536593828755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182.80433047358881</v>
      </c>
      <c r="AA188" s="21">
        <f>EXP(-LN(2)/25)*AA187+(1-EXP(-LN(2)/25))/(LN(2)/25)*Calculateur!V188*Calculateur!X188*VLOOKUP('Données projet'!$B$9,Paramètres!$A$1:$I$89,3,0)*0.475*44/12</f>
        <v>13.549306941584575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196.35363741517338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1.3301360013429075E-13</v>
      </c>
      <c r="AK188" s="13">
        <f t="shared" si="164"/>
        <v>1.9329766731057041E-12</v>
      </c>
      <c r="AL188" s="20">
        <f t="shared" si="165"/>
        <v>3.5982663925596575E-12</v>
      </c>
      <c r="AM188" s="59">
        <f t="shared" si="113"/>
        <v>289.73432332845732</v>
      </c>
      <c r="AN188" s="59">
        <f ca="1">AVERAGE(OFFSET($AM$3,0,0,'Données projet'!$E$10+1,1))-AVERAGE(OFFSET($H$3,0,0,'Données projet'!$E$10+1,1))</f>
        <v>381.55743422692029</v>
      </c>
      <c r="AO188" s="59">
        <f t="shared" si="144"/>
        <v>360.34132229290537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20.386102464494034</v>
      </c>
      <c r="AV188" s="21">
        <f>EXP(-LN(2)/25)*AV187+(1-EXP(-LN(2)/25))/(LN(2)/25)*Calculateur!AQ188*Calculateur!AS188*VLOOKUP('Données projet'!$B$10,Paramètres!$A$1:$I$89,3,0)*0.475*44/12</f>
        <v>1.3581019227586886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21.744204387252722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-70</v>
      </c>
      <c r="BE188" s="13">
        <f>BD188*VLOOKUP('Données projet'!$B$11,Paramètres!$A$1:$I$89,3,0)*VLOOKUP('Données projet'!$B$11,Paramètres!$A$1:$I$89,5,0)</f>
        <v>-56.783999999999999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99.41315989132292</v>
      </c>
      <c r="BJ188" s="59">
        <f t="shared" si="146"/>
        <v>111.63051055870588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4.1579296201884448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4.1579296201884448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-5.1159076974727213E-13</v>
      </c>
      <c r="O189" s="13">
        <f>N189*VLOOKUP('Données projet'!$B$9,Paramètres!$A$1:$I$89,3,0)*VLOOKUP('Données projet'!$B$9,Paramètres!$A$1:$I$89,5,0)</f>
        <v>-4.6288732846733184E-13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474.39725570496114</v>
      </c>
      <c r="T189" s="59">
        <f t="shared" si="142"/>
        <v>196.13536593828755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179.21964905263366</v>
      </c>
      <c r="AA189" s="21">
        <f>EXP(-LN(2)/25)*AA188+(1-EXP(-LN(2)/25))/(LN(2)/25)*Calculateur!V189*Calculateur!X189*VLOOKUP('Données projet'!$B$9,Paramètres!$A$1:$I$89,3,0)*0.475*44/12</f>
        <v>13.178800430739861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192.39844948337353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1.3301360013429075E-13</v>
      </c>
      <c r="AK189" s="13">
        <f t="shared" si="164"/>
        <v>1.9329766731057041E-12</v>
      </c>
      <c r="AL189" s="20">
        <f t="shared" si="165"/>
        <v>3.5982663925596575E-12</v>
      </c>
      <c r="AM189" s="59">
        <f t="shared" si="113"/>
        <v>289.79675810586099</v>
      </c>
      <c r="AN189" s="59">
        <f ca="1">AVERAGE(OFFSET($AM$3,0,0,'Données projet'!$E$10+1,1))-AVERAGE(OFFSET($H$3,0,0,'Données projet'!$E$10+1,1))</f>
        <v>381.55743422692029</v>
      </c>
      <c r="AO189" s="59">
        <f t="shared" si="144"/>
        <v>360.34132229290537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19.986343429460025</v>
      </c>
      <c r="AV189" s="21">
        <f>EXP(-LN(2)/25)*AV188+(1-EXP(-LN(2)/25))/(LN(2)/25)*Calculateur!AQ189*Calculateur!AS189*VLOOKUP('Données projet'!$B$10,Paramètres!$A$1:$I$89,3,0)*0.475*44/12</f>
        <v>1.3209645542613762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21.307307983721401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-70</v>
      </c>
      <c r="BE189" s="13">
        <f>BD189*VLOOKUP('Données projet'!$B$11,Paramètres!$A$1:$I$89,3,0)*VLOOKUP('Données projet'!$B$11,Paramètres!$A$1:$I$89,5,0)</f>
        <v>-56.783999999999999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99.41315989132292</v>
      </c>
      <c r="BJ189" s="59">
        <f t="shared" si="146"/>
        <v>111.63051055870588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4.0763951564232004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4.0763951564232004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-5.1159076974727213E-13</v>
      </c>
      <c r="O190" s="13">
        <f>N190*VLOOKUP('Données projet'!$B$9,Paramètres!$A$1:$I$89,3,0)*VLOOKUP('Données projet'!$B$9,Paramètres!$A$1:$I$89,5,0)</f>
        <v>-4.6288732846733184E-13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474.39725570496114</v>
      </c>
      <c r="T190" s="59">
        <f t="shared" si="142"/>
        <v>196.13536593828755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175.70526104790366</v>
      </c>
      <c r="AA190" s="21">
        <f>EXP(-LN(2)/25)*AA189+(1-EXP(-LN(2)/25))/(LN(2)/25)*Calculateur!V190*Calculateur!X190*VLOOKUP('Données projet'!$B$9,Paramètres!$A$1:$I$89,3,0)*0.475*44/12</f>
        <v>12.818425439918284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188.52368648782195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1.3301360013429075E-13</v>
      </c>
      <c r="AK190" s="13">
        <f t="shared" si="164"/>
        <v>1.9329766731057041E-12</v>
      </c>
      <c r="AL190" s="20">
        <f t="shared" si="165"/>
        <v>3.5982663925596575E-12</v>
      </c>
      <c r="AM190" s="59">
        <f t="shared" si="113"/>
        <v>289.85810977945999</v>
      </c>
      <c r="AN190" s="59">
        <f ca="1">AVERAGE(OFFSET($AM$3,0,0,'Données projet'!$E$10+1,1))-AVERAGE(OFFSET($H$3,0,0,'Données projet'!$E$10+1,1))</f>
        <v>381.55743422692029</v>
      </c>
      <c r="AO190" s="59">
        <f t="shared" si="144"/>
        <v>360.34132229290537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19.594423425274098</v>
      </c>
      <c r="AV190" s="21">
        <f>EXP(-LN(2)/25)*AV189+(1-EXP(-LN(2)/25))/(LN(2)/25)*Calculateur!AQ190*Calculateur!AS190*VLOOKUP('Données projet'!$B$10,Paramètres!$A$1:$I$89,3,0)*0.475*44/12</f>
        <v>1.2848427090585921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20.879266134332688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-70</v>
      </c>
      <c r="BE190" s="13">
        <f>BD190*VLOOKUP('Données projet'!$B$11,Paramètres!$A$1:$I$89,3,0)*VLOOKUP('Données projet'!$B$11,Paramètres!$A$1:$I$89,5,0)</f>
        <v>-56.783999999999999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99.41315989132292</v>
      </c>
      <c r="BJ190" s="59">
        <f t="shared" si="146"/>
        <v>111.63051055870588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3.9964595337612798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3.9964595337612798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-5.1159076974727213E-13</v>
      </c>
      <c r="O191" s="13">
        <f>N191*VLOOKUP('Données projet'!$B$9,Paramètres!$A$1:$I$89,3,0)*VLOOKUP('Données projet'!$B$9,Paramètres!$A$1:$I$89,5,0)</f>
        <v>-4.6288732846733184E-13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474.39725570496114</v>
      </c>
      <c r="T191" s="59">
        <f t="shared" si="142"/>
        <v>196.13536593828755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172.25978804838138</v>
      </c>
      <c r="AA191" s="21">
        <f>EXP(-LN(2)/25)*AA190+(1-EXP(-LN(2)/25))/(LN(2)/25)*Calculateur!V191*Calculateur!X191*VLOOKUP('Données projet'!$B$9,Paramètres!$A$1:$I$89,3,0)*0.475*44/12</f>
        <v>12.467904922172021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184.72769297055339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1.3301360013429075E-13</v>
      </c>
      <c r="AK191" s="13">
        <f t="shared" si="164"/>
        <v>1.9329766731057041E-12</v>
      </c>
      <c r="AL191" s="20">
        <f t="shared" si="165"/>
        <v>3.5982663925596575E-12</v>
      </c>
      <c r="AM191" s="59">
        <f t="shared" si="113"/>
        <v>289.91839713868382</v>
      </c>
      <c r="AN191" s="59">
        <f ca="1">AVERAGE(OFFSET($AM$3,0,0,'Données projet'!$E$10+1,1))-AVERAGE(OFFSET($H$3,0,0,'Données projet'!$E$10+1,1))</f>
        <v>381.55743422692029</v>
      </c>
      <c r="AO191" s="59">
        <f t="shared" si="144"/>
        <v>360.34132229290537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19.210188733322656</v>
      </c>
      <c r="AV191" s="21">
        <f>EXP(-LN(2)/25)*AV190+(1-EXP(-LN(2)/25))/(LN(2)/25)*Calculateur!AQ191*Calculateur!AS191*VLOOKUP('Données projet'!$B$10,Paramètres!$A$1:$I$89,3,0)*0.475*44/12</f>
        <v>1.2497086176124435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20.459897350935101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-70</v>
      </c>
      <c r="BE191" s="13">
        <f>BD191*VLOOKUP('Données projet'!$B$11,Paramètres!$A$1:$I$89,3,0)*VLOOKUP('Données projet'!$B$11,Paramètres!$A$1:$I$89,5,0)</f>
        <v>-56.783999999999999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99.41315989132292</v>
      </c>
      <c r="BJ191" s="59">
        <f t="shared" si="146"/>
        <v>111.63051055870588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3.9180913999038438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3.9180913999038438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-5.1159076974727213E-13</v>
      </c>
      <c r="O192" s="13">
        <f>N192*VLOOKUP('Données projet'!$B$9,Paramètres!$A$1:$I$89,3,0)*VLOOKUP('Données projet'!$B$9,Paramètres!$A$1:$I$89,5,0)</f>
        <v>-4.6288732846733184E-13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474.39725570496114</v>
      </c>
      <c r="T192" s="59">
        <f t="shared" si="142"/>
        <v>196.13536593828755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168.88187867284873</v>
      </c>
      <c r="AA192" s="21">
        <f>EXP(-LN(2)/25)*AA191+(1-EXP(-LN(2)/25))/(LN(2)/25)*Calculateur!V192*Calculateur!X192*VLOOKUP('Données projet'!$B$9,Paramètres!$A$1:$I$89,3,0)*0.475*44/12</f>
        <v>12.126969406416602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181.00884807926533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1.3301360013429075E-13</v>
      </c>
      <c r="AK192" s="13">
        <f t="shared" si="164"/>
        <v>1.9329766731057041E-12</v>
      </c>
      <c r="AL192" s="20">
        <f t="shared" si="165"/>
        <v>3.5982663925596575E-12</v>
      </c>
      <c r="AM192" s="59">
        <f t="shared" si="113"/>
        <v>289.97763864700744</v>
      </c>
      <c r="AN192" s="59">
        <f ca="1">AVERAGE(OFFSET($AM$3,0,0,'Données projet'!$E$10+1,1))-AVERAGE(OFFSET($H$3,0,0,'Données projet'!$E$10+1,1))</f>
        <v>381.55743422692029</v>
      </c>
      <c r="AO192" s="59">
        <f t="shared" si="144"/>
        <v>360.34132229290537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18.833488649320362</v>
      </c>
      <c r="AV192" s="21">
        <f>EXP(-LN(2)/25)*AV191+(1-EXP(-LN(2)/25))/(LN(2)/25)*Calculateur!AQ192*Calculateur!AS192*VLOOKUP('Données projet'!$B$10,Paramètres!$A$1:$I$89,3,0)*0.475*44/12</f>
        <v>1.2155352697445112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20.049023919064872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-70</v>
      </c>
      <c r="BE192" s="13">
        <f>BD192*VLOOKUP('Données projet'!$B$11,Paramètres!$A$1:$I$89,3,0)*VLOOKUP('Données projet'!$B$11,Paramètres!$A$1:$I$89,5,0)</f>
        <v>-56.783999999999999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99.41315989132292</v>
      </c>
      <c r="BJ192" s="59">
        <f t="shared" si="146"/>
        <v>111.63051055870588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3.8412600173515101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3.8412600173515101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-5.1159076974727213E-13</v>
      </c>
      <c r="O193" s="13">
        <f>N193*VLOOKUP('Données projet'!$B$9,Paramètres!$A$1:$I$89,3,0)*VLOOKUP('Données projet'!$B$9,Paramètres!$A$1:$I$89,5,0)</f>
        <v>-4.6288732846733184E-13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474.39725570496114</v>
      </c>
      <c r="T193" s="59">
        <f t="shared" si="142"/>
        <v>196.13536593828755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165.57020803984898</v>
      </c>
      <c r="AA193" s="21">
        <f>EXP(-LN(2)/25)*AA192+(1-EXP(-LN(2)/25))/(LN(2)/25)*Calculateur!V193*Calculateur!X193*VLOOKUP('Données projet'!$B$9,Paramètres!$A$1:$I$89,3,0)*0.475*44/12</f>
        <v>11.795356790268537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177.36556483011751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1.3301360013429075E-13</v>
      </c>
      <c r="AK193" s="13">
        <f t="shared" si="164"/>
        <v>1.9329766731057041E-12</v>
      </c>
      <c r="AL193" s="20">
        <f t="shared" si="165"/>
        <v>3.5982663925596575E-12</v>
      </c>
      <c r="AM193" s="59">
        <f t="shared" si="113"/>
        <v>290.03585244760586</v>
      </c>
      <c r="AN193" s="59">
        <f ca="1">AVERAGE(OFFSET($AM$3,0,0,'Données projet'!$E$10+1,1))-AVERAGE(OFFSET($H$3,0,0,'Données projet'!$E$10+1,1))</f>
        <v>381.55743422692029</v>
      </c>
      <c r="AO193" s="59">
        <f t="shared" si="144"/>
        <v>360.34132229290537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18.464175424200988</v>
      </c>
      <c r="AV193" s="21">
        <f>EXP(-LN(2)/25)*AV192+(1-EXP(-LN(2)/25))/(LN(2)/25)*Calculateur!AQ193*Calculateur!AS193*VLOOKUP('Données projet'!$B$10,Paramètres!$A$1:$I$89,3,0)*0.475*44/12</f>
        <v>1.182296393871126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19.646471818072115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-70</v>
      </c>
      <c r="BE193" s="13">
        <f>BD193*VLOOKUP('Données projet'!$B$11,Paramètres!$A$1:$I$89,3,0)*VLOOKUP('Données projet'!$B$11,Paramètres!$A$1:$I$89,5,0)</f>
        <v>-56.783999999999999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99.41315989132292</v>
      </c>
      <c r="BJ193" s="59">
        <f t="shared" si="146"/>
        <v>111.63051055870588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3.7659352513485116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3.7659352513485116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-5.1159076974727213E-13</v>
      </c>
      <c r="O194" s="13">
        <f>N194*VLOOKUP('Données projet'!$B$9,Paramètres!$A$1:$I$89,3,0)*VLOOKUP('Données projet'!$B$9,Paramètres!$A$1:$I$89,5,0)</f>
        <v>-4.6288732846733184E-13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474.39725570496114</v>
      </c>
      <c r="T194" s="59">
        <f t="shared" si="142"/>
        <v>196.13536593828755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162.32347724804274</v>
      </c>
      <c r="AA194" s="21">
        <f>EXP(-LN(2)/25)*AA193+(1-EXP(-LN(2)/25))/(LN(2)/25)*Calculateur!V194*Calculateur!X194*VLOOKUP('Données projet'!$B$9,Paramètres!$A$1:$I$89,3,0)*0.475*44/12</f>
        <v>11.472812138547789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173.79628938659053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1.3301360013429075E-13</v>
      </c>
      <c r="AK194" s="13">
        <f t="shared" si="164"/>
        <v>1.9329766731057041E-12</v>
      </c>
      <c r="AL194" s="20">
        <f t="shared" si="165"/>
        <v>3.5982663925596575E-12</v>
      </c>
      <c r="AM194" s="59">
        <f t="shared" si="113"/>
        <v>290.09305636891042</v>
      </c>
      <c r="AN194" s="59">
        <f ca="1">AVERAGE(OFFSET($AM$3,0,0,'Données projet'!$E$10+1,1))-AVERAGE(OFFSET($H$3,0,0,'Données projet'!$E$10+1,1))</f>
        <v>381.55743422692029</v>
      </c>
      <c r="AO194" s="59">
        <f t="shared" si="144"/>
        <v>360.34132229290537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18.102104206167382</v>
      </c>
      <c r="AV194" s="21">
        <f>EXP(-LN(2)/25)*AV193+(1-EXP(-LN(2)/25))/(LN(2)/25)*Calculateur!AQ194*Calculateur!AS194*VLOOKUP('Données projet'!$B$10,Paramètres!$A$1:$I$89,3,0)*0.475*44/12</f>
        <v>1.1499664368064548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19.252070642973838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-70</v>
      </c>
      <c r="BE194" s="13">
        <f>BD194*VLOOKUP('Données projet'!$B$11,Paramètres!$A$1:$I$89,3,0)*VLOOKUP('Données projet'!$B$11,Paramètres!$A$1:$I$89,5,0)</f>
        <v>-56.783999999999999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99.41315989132292</v>
      </c>
      <c r="BJ194" s="59">
        <f t="shared" si="146"/>
        <v>111.63051055870588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3.6920875580632613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3.6920875580632613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-5.1159076974727213E-13</v>
      </c>
      <c r="O195" s="13">
        <f>N195*VLOOKUP('Données projet'!$B$9,Paramètres!$A$1:$I$89,3,0)*VLOOKUP('Données projet'!$B$9,Paramètres!$A$1:$I$89,5,0)</f>
        <v>-4.6288732846733184E-13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474.39725570496114</v>
      </c>
      <c r="T195" s="59">
        <f t="shared" si="142"/>
        <v>196.13536593828755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159.14041286675356</v>
      </c>
      <c r="AA195" s="21">
        <f>EXP(-LN(2)/25)*AA194+(1-EXP(-LN(2)/25))/(LN(2)/25)*Calculateur!V195*Calculateur!X195*VLOOKUP('Données projet'!$B$9,Paramètres!$A$1:$I$89,3,0)*0.475*44/12</f>
        <v>11.159087487290231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170.2995003540438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1.3301360013429075E-13</v>
      </c>
      <c r="AK195" s="13">
        <f t="shared" si="164"/>
        <v>1.9329766731057041E-12</v>
      </c>
      <c r="AL195" s="20">
        <f t="shared" si="165"/>
        <v>3.5982663925596575E-12</v>
      </c>
      <c r="AM195" s="59">
        <f t="shared" si="113"/>
        <v>290.14926793006924</v>
      </c>
      <c r="AN195" s="59">
        <f ca="1">AVERAGE(OFFSET($AM$3,0,0,'Données projet'!$E$10+1,1))-AVERAGE(OFFSET($H$3,0,0,'Données projet'!$E$10+1,1))</f>
        <v>381.55743422692029</v>
      </c>
      <c r="AO195" s="59">
        <f t="shared" si="144"/>
        <v>360.34132229290537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17.74713298387778</v>
      </c>
      <c r="AV195" s="21">
        <f>EXP(-LN(2)/25)*AV194+(1-EXP(-LN(2)/25))/(LN(2)/25)*Calculateur!AQ195*Calculateur!AS195*VLOOKUP('Données projet'!$B$10,Paramètres!$A$1:$I$89,3,0)*0.475*44/12</f>
        <v>1.1185205441178756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18.865653527995654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-70</v>
      </c>
      <c r="BE195" s="13">
        <f>BD195*VLOOKUP('Données projet'!$B$11,Paramètres!$A$1:$I$89,3,0)*VLOOKUP('Données projet'!$B$11,Paramètres!$A$1:$I$89,5,0)</f>
        <v>-56.783999999999999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99.41315989132292</v>
      </c>
      <c r="BJ195" s="59">
        <f t="shared" si="146"/>
        <v>111.63051055870588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3.6196879730006892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3.6196879730006892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-5.1159076974727213E-13</v>
      </c>
      <c r="O196" s="13">
        <f>N196*VLOOKUP('Données projet'!$B$9,Paramètres!$A$1:$I$89,3,0)*VLOOKUP('Données projet'!$B$9,Paramètres!$A$1:$I$89,5,0)</f>
        <v>-4.6288732846733184E-13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474.39725570496114</v>
      </c>
      <c r="T196" s="59">
        <f t="shared" si="142"/>
        <v>196.13536593828755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156.01976643650389</v>
      </c>
      <c r="AA196" s="21">
        <f>EXP(-LN(2)/25)*AA195+(1-EXP(-LN(2)/25))/(LN(2)/25)*Calculateur!V196*Calculateur!X196*VLOOKUP('Données projet'!$B$9,Paramètres!$A$1:$I$89,3,0)*0.475*44/12</f>
        <v>10.853941653119373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166.87370808962325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1.3301360013429075E-13</v>
      </c>
      <c r="AK196" s="13">
        <f t="shared" si="164"/>
        <v>1.9329766731057041E-12</v>
      </c>
      <c r="AL196" s="20">
        <f t="shared" si="165"/>
        <v>3.5982663925596575E-12</v>
      </c>
      <c r="AM196" s="59">
        <f t="shared" ref="AM196:AM203" si="193">AL196+(AD196+AE196)*44/12</f>
        <v>290.20450434631209</v>
      </c>
      <c r="AN196" s="59">
        <f ca="1">AVERAGE(OFFSET($AM$3,0,0,'Données projet'!$E$10+1,1))-AVERAGE(OFFSET($H$3,0,0,'Données projet'!$E$10+1,1))</f>
        <v>381.55743422692029</v>
      </c>
      <c r="AO196" s="59">
        <f t="shared" si="144"/>
        <v>360.34132229290537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17.399122530746208</v>
      </c>
      <c r="AV196" s="21">
        <f>EXP(-LN(2)/25)*AV195+(1-EXP(-LN(2)/25))/(LN(2)/25)*Calculateur!AQ196*Calculateur!AS196*VLOOKUP('Données projet'!$B$10,Paramètres!$A$1:$I$89,3,0)*0.475*44/12</f>
        <v>1.0879345410185333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18.487057071764742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-70</v>
      </c>
      <c r="BE196" s="13">
        <f>BD196*VLOOKUP('Données projet'!$B$11,Paramètres!$A$1:$I$89,3,0)*VLOOKUP('Données projet'!$B$11,Paramètres!$A$1:$I$89,5,0)</f>
        <v>-56.783999999999999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99.41315989132292</v>
      </c>
      <c r="BJ196" s="59">
        <f t="shared" si="146"/>
        <v>111.63051055870588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3.5487080996418081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3.5487080996418081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-5.1159076974727213E-13</v>
      </c>
      <c r="O197" s="13">
        <f>N197*VLOOKUP('Données projet'!$B$9,Paramètres!$A$1:$I$89,3,0)*VLOOKUP('Données projet'!$B$9,Paramètres!$A$1:$I$89,5,0)</f>
        <v>-4.6288732846733184E-13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474.39725570496114</v>
      </c>
      <c r="T197" s="59">
        <f t="shared" ref="T197:T203" si="204">$T$3</f>
        <v>196.13536593828755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152.96031397934505</v>
      </c>
      <c r="AA197" s="21">
        <f>EXP(-LN(2)/25)*AA196+(1-EXP(-LN(2)/25))/(LN(2)/25)*Calculateur!V197*Calculateur!X197*VLOOKUP('Données projet'!$B$9,Paramètres!$A$1:$I$89,3,0)*0.475*44/12</f>
        <v>10.557140047830838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163.51745402717589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1.3301360013429075E-13</v>
      </c>
      <c r="AK197" s="13">
        <f t="shared" si="164"/>
        <v>1.9329766731057041E-12</v>
      </c>
      <c r="AL197" s="20">
        <f t="shared" si="165"/>
        <v>3.5982663925596575E-12</v>
      </c>
      <c r="AM197" s="59">
        <f t="shared" si="193"/>
        <v>290.25878253422331</v>
      </c>
      <c r="AN197" s="59">
        <f ca="1">AVERAGE(OFFSET($AM$3,0,0,'Données projet'!$E$10+1,1))-AVERAGE(OFFSET($H$3,0,0,'Données projet'!$E$10+1,1))</f>
        <v>381.55743422692029</v>
      </c>
      <c r="AO197" s="59">
        <f t="shared" ref="AO197:AO203" si="205">$AO$3</f>
        <v>360.34132229290537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17.05793635033513</v>
      </c>
      <c r="AV197" s="21">
        <f>EXP(-LN(2)/25)*AV196+(1-EXP(-LN(2)/25))/(LN(2)/25)*Calculateur!AQ197*Calculateur!AS197*VLOOKUP('Données projet'!$B$10,Paramètres!$A$1:$I$89,3,0)*0.475*44/12</f>
        <v>1.0581849137823904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18.11612126411752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-70</v>
      </c>
      <c r="BE197" s="13">
        <f>BD197*VLOOKUP('Données projet'!$B$11,Paramètres!$A$1:$I$89,3,0)*VLOOKUP('Données projet'!$B$11,Paramètres!$A$1:$I$89,5,0)</f>
        <v>-56.783999999999999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99.41315989132292</v>
      </c>
      <c r="BJ197" s="59">
        <f t="shared" ref="BJ197:BJ203" si="206">$BJ$3</f>
        <v>111.63051055870588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3.4791200983060464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3.4791200983060464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-5.1159076974727213E-13</v>
      </c>
      <c r="O198" s="13">
        <f>N198*VLOOKUP('Données projet'!$B$9,Paramètres!$A$1:$I$89,3,0)*VLOOKUP('Données projet'!$B$9,Paramètres!$A$1:$I$89,5,0)</f>
        <v>-4.6288732846733184E-13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474.39725570496114</v>
      </c>
      <c r="T198" s="59">
        <f t="shared" si="204"/>
        <v>196.13536593828755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149.96085551878934</v>
      </c>
      <c r="AA198" s="21">
        <f>EXP(-LN(2)/25)*AA197+(1-EXP(-LN(2)/25))/(LN(2)/25)*Calculateur!V198*Calculateur!X198*VLOOKUP('Données projet'!$B$9,Paramètres!$A$1:$I$89,3,0)*0.475*44/12</f>
        <v>10.268454498047038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160.22931001683639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1.3301360013429075E-13</v>
      </c>
      <c r="AK198" s="13">
        <f t="shared" si="164"/>
        <v>1.9329766731057041E-12</v>
      </c>
      <c r="AL198" s="20">
        <f t="shared" si="165"/>
        <v>3.5982663925596575E-12</v>
      </c>
      <c r="AM198" s="59">
        <f t="shared" si="193"/>
        <v>290.31211911692208</v>
      </c>
      <c r="AN198" s="59">
        <f ca="1">AVERAGE(OFFSET($AM$3,0,0,'Données projet'!$E$10+1,1))-AVERAGE(OFFSET($H$3,0,0,'Données projet'!$E$10+1,1))</f>
        <v>381.55743422692029</v>
      </c>
      <c r="AO198" s="59">
        <f t="shared" si="205"/>
        <v>360.34132229290537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16.723440622818892</v>
      </c>
      <c r="AV198" s="21">
        <f>EXP(-LN(2)/25)*AV197+(1-EXP(-LN(2)/25))/(LN(2)/25)*Calculateur!AQ198*Calculateur!AS198*VLOOKUP('Données projet'!$B$10,Paramètres!$A$1:$I$89,3,0)*0.475*44/12</f>
        <v>1.0292487916674848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17.752689414486376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-70</v>
      </c>
      <c r="BE198" s="13">
        <f>BD198*VLOOKUP('Données projet'!$B$11,Paramètres!$A$1:$I$89,3,0)*VLOOKUP('Données projet'!$B$11,Paramètres!$A$1:$I$89,5,0)</f>
        <v>-56.783999999999999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99.41315989132292</v>
      </c>
      <c r="BJ198" s="59">
        <f t="shared" si="206"/>
        <v>111.63051055870588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3.4108966752319896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3.4108966752319896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-5.1159076974727213E-13</v>
      </c>
      <c r="O199" s="13">
        <f>N199*VLOOKUP('Données projet'!$B$9,Paramètres!$A$1:$I$89,3,0)*VLOOKUP('Données projet'!$B$9,Paramètres!$A$1:$I$89,5,0)</f>
        <v>-4.6288732846733184E-13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474.39725570496114</v>
      </c>
      <c r="T199" s="59">
        <f t="shared" si="204"/>
        <v>196.13536593828755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147.02021460915611</v>
      </c>
      <c r="AA199" s="21">
        <f>EXP(-LN(2)/25)*AA198+(1-EXP(-LN(2)/25))/(LN(2)/25)*Calculateur!V199*Calculateur!X199*VLOOKUP('Données projet'!$B$9,Paramètres!$A$1:$I$89,3,0)*0.475*44/12</f>
        <v>9.9876630698033892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157.00787767895952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1.3301360013429075E-13</v>
      </c>
      <c r="AK199" s="13">
        <f t="shared" si="164"/>
        <v>1.9329766731057041E-12</v>
      </c>
      <c r="AL199" s="20">
        <f t="shared" si="165"/>
        <v>3.5982663925596575E-12</v>
      </c>
      <c r="AM199" s="59">
        <f t="shared" si="193"/>
        <v>290.36453042915377</v>
      </c>
      <c r="AN199" s="59">
        <f ca="1">AVERAGE(OFFSET($AM$3,0,0,'Données projet'!$E$10+1,1))-AVERAGE(OFFSET($H$3,0,0,'Données projet'!$E$10+1,1))</f>
        <v>381.55743422692029</v>
      </c>
      <c r="AO199" s="59">
        <f t="shared" si="205"/>
        <v>360.34132229290537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16.395504152496997</v>
      </c>
      <c r="AV199" s="21">
        <f>EXP(-LN(2)/25)*AV198+(1-EXP(-LN(2)/25))/(LN(2)/25)*Calculateur!AQ199*Calculateur!AS199*VLOOKUP('Données projet'!$B$10,Paramètres!$A$1:$I$89,3,0)*0.475*44/12</f>
        <v>1.0011039293334958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17.396608081830493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-70</v>
      </c>
      <c r="BE199" s="13">
        <f>BD199*VLOOKUP('Données projet'!$B$11,Paramètres!$A$1:$I$89,3,0)*VLOOKUP('Données projet'!$B$11,Paramètres!$A$1:$I$89,5,0)</f>
        <v>-56.783999999999999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99.41315989132292</v>
      </c>
      <c r="BJ199" s="59">
        <f t="shared" si="206"/>
        <v>111.63051055870588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3.3440110718722358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3.3440110718722358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-5.1159076974727213E-13</v>
      </c>
      <c r="O200" s="13">
        <f>N200*VLOOKUP('Données projet'!$B$9,Paramètres!$A$1:$I$89,3,0)*VLOOKUP('Données projet'!$B$9,Paramètres!$A$1:$I$89,5,0)</f>
        <v>-4.6288732846733184E-13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474.39725570496114</v>
      </c>
      <c r="T200" s="59">
        <f t="shared" si="204"/>
        <v>196.13536593828755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144.13723787414696</v>
      </c>
      <c r="AA200" s="21">
        <f>EXP(-LN(2)/25)*AA199+(1-EXP(-LN(2)/25))/(LN(2)/25)*Calculateur!V200*Calculateur!X200*VLOOKUP('Données projet'!$B$9,Paramètres!$A$1:$I$89,3,0)*0.475*44/12</f>
        <v>9.7145498979312421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153.85178777207821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1.3301360013429075E-13</v>
      </c>
      <c r="AK200" s="13">
        <f t="shared" si="164"/>
        <v>1.9329766731057041E-12</v>
      </c>
      <c r="AL200" s="20">
        <f t="shared" si="165"/>
        <v>3.5982663925596575E-12</v>
      </c>
      <c r="AM200" s="59">
        <f t="shared" si="193"/>
        <v>290.41603252229237</v>
      </c>
      <c r="AN200" s="59">
        <f ca="1">AVERAGE(OFFSET($AM$3,0,0,'Données projet'!$E$10+1,1))-AVERAGE(OFFSET($H$3,0,0,'Données projet'!$E$10+1,1))</f>
        <v>381.55743422692029</v>
      </c>
      <c r="AO200" s="59">
        <f t="shared" si="205"/>
        <v>360.34132229290537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16.07399831633662</v>
      </c>
      <c r="AV200" s="21">
        <f>EXP(-LN(2)/25)*AV199+(1-EXP(-LN(2)/25))/(LN(2)/25)*Calculateur!AQ200*Calculateur!AS200*VLOOKUP('Données projet'!$B$10,Paramètres!$A$1:$I$89,3,0)*0.475*44/12</f>
        <v>0.97372868974010374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17.047727006076723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-70</v>
      </c>
      <c r="BE200" s="13">
        <f>BD200*VLOOKUP('Données projet'!$B$11,Paramètres!$A$1:$I$89,3,0)*VLOOKUP('Données projet'!$B$11,Paramètres!$A$1:$I$89,5,0)</f>
        <v>-56.783999999999999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99.41315989132292</v>
      </c>
      <c r="BJ200" s="59">
        <f t="shared" si="206"/>
        <v>111.63051055870588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3.2784370543981769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3.2784370543981769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-5.1159076974727213E-13</v>
      </c>
      <c r="O201" s="13">
        <f>N201*VLOOKUP('Données projet'!$B$9,Paramètres!$A$1:$I$89,3,0)*VLOOKUP('Données projet'!$B$9,Paramètres!$A$1:$I$89,5,0)</f>
        <v>-4.6288732846733184E-13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474.39725570496114</v>
      </c>
      <c r="T201" s="59">
        <f t="shared" si="204"/>
        <v>196.13536593828755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141.31079455446914</v>
      </c>
      <c r="AA201" s="21">
        <f>EXP(-LN(2)/25)*AA200+(1-EXP(-LN(2)/25))/(LN(2)/25)*Calculateur!V201*Calculateur!X201*VLOOKUP('Données projet'!$B$9,Paramètres!$A$1:$I$89,3,0)*0.475*44/12</f>
        <v>9.448905020106336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150.75969957457548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1.3301360013429075E-13</v>
      </c>
      <c r="AK201" s="13">
        <f t="shared" si="164"/>
        <v>1.9329766731057041E-12</v>
      </c>
      <c r="AL201" s="20">
        <f t="shared" si="165"/>
        <v>3.5982663925596575E-12</v>
      </c>
      <c r="AM201" s="59">
        <f t="shared" si="193"/>
        <v>290.46664116925649</v>
      </c>
      <c r="AN201" s="59">
        <f ca="1">AVERAGE(OFFSET($AM$3,0,0,'Données projet'!$E$10+1,1))-AVERAGE(OFFSET($H$3,0,0,'Données projet'!$E$10+1,1))</f>
        <v>381.55743422692029</v>
      </c>
      <c r="AO201" s="59">
        <f t="shared" si="205"/>
        <v>360.34132229290537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15.75879701352415</v>
      </c>
      <c r="AV201" s="21">
        <f>EXP(-LN(2)/25)*AV200+(1-EXP(-LN(2)/25))/(LN(2)/25)*Calculateur!AQ201*Calculateur!AS201*VLOOKUP('Données projet'!$B$10,Paramètres!$A$1:$I$89,3,0)*0.475*44/12</f>
        <v>0.94710202751299433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16.705899041037146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-70</v>
      </c>
      <c r="BE201" s="13">
        <f>BD201*VLOOKUP('Données projet'!$B$11,Paramètres!$A$1:$I$89,3,0)*VLOOKUP('Données projet'!$B$11,Paramètres!$A$1:$I$89,5,0)</f>
        <v>-56.783999999999999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99.41315989132292</v>
      </c>
      <c r="BJ201" s="59">
        <f t="shared" si="206"/>
        <v>111.63051055870588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3.214148903410583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3.214148903410583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-5.1159076974727213E-13</v>
      </c>
      <c r="O202" s="13">
        <f>N202*VLOOKUP('Données projet'!$B$9,Paramètres!$A$1:$I$89,3,0)*VLOOKUP('Données projet'!$B$9,Paramètres!$A$1:$I$89,5,0)</f>
        <v>-4.6288732846733184E-13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474.39725570496114</v>
      </c>
      <c r="T202" s="59">
        <f t="shared" si="204"/>
        <v>196.13536593828755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138.53977606433003</v>
      </c>
      <c r="AA202" s="21">
        <f>EXP(-LN(2)/25)*AA201+(1-EXP(-LN(2)/25))/(LN(2)/25)*Calculateur!V202*Calculateur!X202*VLOOKUP('Données projet'!$B$9,Paramètres!$A$1:$I$89,3,0)*0.475*44/12</f>
        <v>9.1905242154352091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147.73030027976523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1.3301360013429075E-13</v>
      </c>
      <c r="AK202" s="13">
        <f t="shared" si="164"/>
        <v>1.9329766731057041E-12</v>
      </c>
      <c r="AL202" s="20">
        <f t="shared" si="165"/>
        <v>3.5982663925596575E-12</v>
      </c>
      <c r="AM202" s="59">
        <f t="shared" si="193"/>
        <v>290.51637186933971</v>
      </c>
      <c r="AN202" s="59">
        <f ca="1">AVERAGE(OFFSET($AM$3,0,0,'Données projet'!$E$10+1,1))-AVERAGE(OFFSET($H$3,0,0,'Données projet'!$E$10+1,1))</f>
        <v>381.55743422692029</v>
      </c>
      <c r="AO202" s="59">
        <f t="shared" si="205"/>
        <v>360.34132229290537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15.449776616006021</v>
      </c>
      <c r="AV202" s="21">
        <f>EXP(-LN(2)/25)*AV201+(1-EXP(-LN(2)/25))/(LN(2)/25)*Calculateur!AQ202*Calculateur!AS202*VLOOKUP('Données projet'!$B$10,Paramètres!$A$1:$I$89,3,0)*0.475*44/12</f>
        <v>0.92120347276472048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16.370980088770743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-70</v>
      </c>
      <c r="BE202" s="13">
        <f>BD202*VLOOKUP('Données projet'!$B$11,Paramètres!$A$1:$I$89,3,0)*VLOOKUP('Données projet'!$B$11,Paramètres!$A$1:$I$89,5,0)</f>
        <v>-56.783999999999999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99.41315989132292</v>
      </c>
      <c r="BJ202" s="59">
        <f t="shared" si="206"/>
        <v>111.63051055870588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3.1511214038519553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3.1511214038519553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-5.1159076974727213E-13</v>
      </c>
      <c r="O203" s="13">
        <f>N203*VLOOKUP('Données projet'!$B$9,Paramètres!$A$1:$I$89,3,0)*VLOOKUP('Données projet'!$B$9,Paramètres!$A$1:$I$89,5,0)</f>
        <v>-4.6288732846733184E-13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474.39725570496114</v>
      </c>
      <c r="T203" s="59">
        <f t="shared" si="204"/>
        <v>196.13536593828755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135.82309555662815</v>
      </c>
      <c r="AA203" s="21">
        <f>EXP(-LN(2)/25)*AA202+(1-EXP(-LN(2)/25))/(LN(2)/25)*Calculateur!V203*Calculateur!X203*VLOOKUP('Données projet'!$B$9,Paramètres!$A$1:$I$89,3,0)*0.475*44/12</f>
        <v>8.9392088474554701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144.76230440408361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1.3301360013429075E-13</v>
      </c>
      <c r="AK203" s="13">
        <f t="shared" si="164"/>
        <v>1.9329766731057041E-12</v>
      </c>
      <c r="AL203" s="20">
        <f t="shared" si="165"/>
        <v>3.5982663925596575E-12</v>
      </c>
      <c r="AM203" s="59">
        <f t="shared" si="193"/>
        <v>290.56523985295769</v>
      </c>
      <c r="AN203" s="59">
        <f ca="1">AVERAGE(OFFSET($AM$3,0,0,'Données projet'!$E$10+1,1))-AVERAGE(OFFSET($H$3,0,0,'Données projet'!$E$10+1,1))</f>
        <v>381.55743422692029</v>
      </c>
      <c r="AO203" s="59">
        <f t="shared" si="205"/>
        <v>360.34132229290537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15.146815919999392</v>
      </c>
      <c r="AV203" s="21">
        <f>EXP(-LN(2)/25)*AV202+(1-EXP(-LN(2)/25))/(LN(2)/25)*Calculateur!AQ203*Calculateur!AS203*VLOOKUP('Données projet'!$B$10,Paramètres!$A$1:$I$89,3,0)*0.475*44/12</f>
        <v>0.896013115357984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16.042829035357375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-70</v>
      </c>
      <c r="BE203" s="13">
        <f>BD203*VLOOKUP('Données projet'!$B$11,Paramètres!$A$1:$I$89,3,0)*VLOOKUP('Données projet'!$B$11,Paramètres!$A$1:$I$89,5,0)</f>
        <v>-56.783999999999999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99.41315989132292</v>
      </c>
      <c r="BJ203" s="59">
        <f t="shared" si="206"/>
        <v>111.63051055870588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3.0893298351166938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3.0893298351166938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1.1087227605711896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1.2688471048731957</v>
      </c>
      <c r="BA205" s="82">
        <f>EXP(LN('Données projet'!B88)/'Données projet'!A88)</f>
        <v>1.0706212377669662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7773437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77734375" style="4" bestFit="1" customWidth="1"/>
    <col min="7" max="7" width="11.44140625" style="4" bestFit="1" customWidth="1"/>
    <col min="8" max="8" width="39" style="4" bestFit="1" customWidth="1"/>
    <col min="9" max="9" width="16.777343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7" sqref="L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3.5520000000000005</v>
      </c>
      <c r="C6" s="147">
        <f ca="1">IF(OR('Données projet'!B9="",'Données projet'!C9="",'Données projet'!C9=0%),0,Calculateur!S3)</f>
        <v>474.39725570496114</v>
      </c>
      <c r="D6" s="147">
        <f>IF(OR('Données projet'!B9="",'Données projet'!C9="",'Données projet'!C9=0%),0,Calculateur!T3)</f>
        <v>196.13536593828755</v>
      </c>
      <c r="E6" s="147">
        <f ca="1">MIN(C6,D6)</f>
        <v>196.13536593828755</v>
      </c>
      <c r="F6" s="147">
        <f ca="1">E6*B6</f>
        <v>696.67281981279746</v>
      </c>
      <c r="G6" s="147">
        <f ca="1">F6*(100%-'Données projet'!$C$24)*(100%-'Données projet'!$C$25)*(100%-'Données projet'!$C$26)*(100%-'Données projet'!$C$27)</f>
        <v>627.0055378315177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627.0055378315177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Merisier</v>
      </c>
      <c r="B7" s="154">
        <f>'Données projet'!D10</f>
        <v>1.3760000000000001</v>
      </c>
      <c r="C7" s="147">
        <f ca="1">IF(OR('Données projet'!B10="",'Données projet'!C10="",'Données projet'!C10=0%),0,Calculateur!AN3)</f>
        <v>381.55743422692029</v>
      </c>
      <c r="D7" s="147">
        <f>IF(OR('Données projet'!B10="",'Données projet'!C10="",'Données projet'!C10=0%),0,Calculateur!AO3)</f>
        <v>360.34132229290537</v>
      </c>
      <c r="E7" s="147">
        <f t="shared" ref="E7:E15" ca="1" si="0">MIN(C7,D7)</f>
        <v>360.34132229290537</v>
      </c>
      <c r="F7" s="147">
        <f t="shared" ref="F7:F15" ca="1" si="1">E7*B7</f>
        <v>495.82965947503783</v>
      </c>
      <c r="G7" s="147">
        <f ca="1">F7*(100%-'Données projet'!$C$24)*(100%-'Données projet'!$C$25)*(100%-'Données projet'!$C$26)*(100%-'Données projet'!$C$27)</f>
        <v>446.24669352753403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22.704000000000001</v>
      </c>
      <c r="K7" s="151">
        <f>J7*(100%-'Données projet'!$C$24)*(100%-'Données projet'!$C$25)*(100%-'Données projet'!$C$26)*(100%-'Données projet'!$C$27)</f>
        <v>20.433600000000002</v>
      </c>
      <c r="L7" s="152">
        <f t="shared" ref="L7:L15" ca="1" si="2">G7+I7+K7</f>
        <v>466.68029352753405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Noyer</v>
      </c>
      <c r="B8" s="154">
        <f>'Données projet'!D11</f>
        <v>1.4720000000000002</v>
      </c>
      <c r="C8" s="147">
        <f ca="1">IF(OR('Données projet'!B11="",'Données projet'!C11="",'Données projet'!C11=0%),0,Calculateur!BI3)</f>
        <v>99.41315989132292</v>
      </c>
      <c r="D8" s="147">
        <f>IF(OR('Données projet'!B11="",'Données projet'!C11="",'Données projet'!C11=0%),0,Calculateur!BJ3)</f>
        <v>111.63051055870588</v>
      </c>
      <c r="E8" s="147">
        <f t="shared" ca="1" si="0"/>
        <v>99.41315989132292</v>
      </c>
      <c r="F8" s="147">
        <f t="shared" ca="1" si="1"/>
        <v>146.33617136002735</v>
      </c>
      <c r="G8" s="147">
        <f ca="1">F8*(100%-'Données projet'!$C$24)*(100%-'Données projet'!$C$25)*(100%-'Données projet'!$C$26)*(100%-'Données projet'!$C$27)</f>
        <v>131.70255422402462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131.70255422402462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1338.8386506478626</v>
      </c>
      <c r="G16" s="166">
        <f t="shared" ca="1" si="3"/>
        <v>1204.9547855830763</v>
      </c>
      <c r="H16" s="167">
        <f t="shared" si="3"/>
        <v>0</v>
      </c>
      <c r="I16" s="167">
        <f t="shared" si="3"/>
        <v>0</v>
      </c>
      <c r="J16" s="168">
        <f t="shared" si="3"/>
        <v>22.704000000000001</v>
      </c>
      <c r="K16" s="168">
        <f t="shared" si="3"/>
        <v>20.433600000000002</v>
      </c>
      <c r="L16" s="169">
        <f t="shared" ca="1" si="3"/>
        <v>1225.3883855830763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Merisier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Noyer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7" zoomScale="90" zoomScaleNormal="90" workbookViewId="0">
      <selection activeCell="E56" sqref="E5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0" t="s">
        <v>315</v>
      </c>
      <c r="I4" s="260"/>
      <c r="K4" s="302" t="s">
        <v>253</v>
      </c>
      <c r="L4" s="30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1167.2090982653008</v>
      </c>
      <c r="U10" s="178">
        <f>'Données projet'!D9</f>
        <v>3.5520000000000005</v>
      </c>
      <c r="V10" s="177">
        <f>U10*T10</f>
        <v>4145.9267170383491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Merisier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2589.3254485911166</v>
      </c>
      <c r="U11" s="178">
        <f>'Données projet'!D10</f>
        <v>1.3760000000000001</v>
      </c>
      <c r="V11" s="177">
        <f t="shared" ref="V11" si="0">U11*T11</f>
        <v>3562.9118172613767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Noyer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2312.6154286272008</v>
      </c>
      <c r="U12" s="178">
        <f>'Données projet'!D11</f>
        <v>1.4720000000000002</v>
      </c>
      <c r="V12" s="177">
        <f t="shared" ref="V12:V19" si="1">U12*T12</f>
        <v>3404.1699109392403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5" t="s">
        <v>318</v>
      </c>
      <c r="H15" s="190">
        <v>1</v>
      </c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5"/>
      <c r="H16" s="190"/>
      <c r="I16" s="191"/>
      <c r="J16" s="202"/>
      <c r="K16" s="208"/>
      <c r="L16" s="302" t="s">
        <v>254</v>
      </c>
      <c r="M16" s="303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5"/>
      <c r="J17" s="202"/>
      <c r="K17" s="208"/>
      <c r="L17" s="262" t="s">
        <v>289</v>
      </c>
      <c r="M17" s="264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5"/>
      <c r="J18" s="202"/>
      <c r="K18" s="208"/>
      <c r="L18" s="262" t="s">
        <v>255</v>
      </c>
      <c r="M18" s="264"/>
      <c r="N18" s="192">
        <v>8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5"/>
      <c r="H19" s="212" t="s">
        <v>178</v>
      </c>
      <c r="I19" s="212" t="s">
        <v>287</v>
      </c>
      <c r="J19" s="93"/>
      <c r="K19" s="173"/>
      <c r="L19" s="302" t="s">
        <v>288</v>
      </c>
      <c r="M19" s="303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5"/>
      <c r="H20" s="190">
        <v>1</v>
      </c>
      <c r="I20" s="191">
        <v>6165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654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654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45</v>
      </c>
      <c r="B23" s="181">
        <f>'Données projet'!D36</f>
        <v>40</v>
      </c>
      <c r="C23" s="193">
        <v>60</v>
      </c>
      <c r="D23" s="182">
        <f>B23*C23</f>
        <v>2400</v>
      </c>
      <c r="E23" s="193">
        <v>60</v>
      </c>
      <c r="F23" s="230"/>
      <c r="H23" s="190">
        <v>4</v>
      </c>
      <c r="I23" s="191">
        <v>654</v>
      </c>
      <c r="K23" s="208"/>
      <c r="L23" s="304" t="s">
        <v>260</v>
      </c>
      <c r="M23" s="304"/>
      <c r="N23" s="304"/>
      <c r="O23" s="23"/>
      <c r="P23" s="23"/>
      <c r="Q23" s="234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-41013.257163612521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53</v>
      </c>
      <c r="B24" s="181">
        <f>'Données projet'!D37</f>
        <v>42</v>
      </c>
      <c r="C24" s="193">
        <v>60</v>
      </c>
      <c r="D24" s="182">
        <f t="shared" ref="D24:D42" si="2">B24*C24</f>
        <v>2520</v>
      </c>
      <c r="E24" s="193">
        <v>60</v>
      </c>
      <c r="F24" s="233"/>
      <c r="H24" s="190">
        <v>5</v>
      </c>
      <c r="I24" s="191">
        <v>654</v>
      </c>
      <c r="K24" s="208"/>
      <c r="O24" s="23"/>
      <c r="P24" s="23"/>
      <c r="Q24" s="234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48469.169365581074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61</v>
      </c>
      <c r="B25" s="181">
        <f>'Données projet'!D38</f>
        <v>43</v>
      </c>
      <c r="C25" s="193">
        <v>60</v>
      </c>
      <c r="D25" s="182">
        <f t="shared" si="2"/>
        <v>2580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350</v>
      </c>
      <c r="Q25" s="234"/>
      <c r="R25" s="23"/>
      <c r="S25" s="186" t="s">
        <v>266</v>
      </c>
      <c r="T25" s="301">
        <f ca="1">T23-T24</f>
        <v>-89482.426529193588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69</v>
      </c>
      <c r="B26" s="181">
        <f>'Données projet'!D39</f>
        <v>40</v>
      </c>
      <c r="C26" s="193">
        <v>60</v>
      </c>
      <c r="D26" s="182">
        <f t="shared" si="2"/>
        <v>2400</v>
      </c>
      <c r="E26" s="193">
        <v>60</v>
      </c>
      <c r="F26" s="233"/>
      <c r="G26" s="229"/>
      <c r="H26" s="190"/>
      <c r="I26" s="191"/>
      <c r="K26" s="208"/>
      <c r="L26" s="288" t="s">
        <v>258</v>
      </c>
      <c r="M26" s="289"/>
      <c r="N26" s="289"/>
      <c r="O26" s="289"/>
      <c r="P26" s="290"/>
      <c r="Q26" s="234"/>
      <c r="R26" s="23"/>
      <c r="S26" s="186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77</v>
      </c>
      <c r="B27" s="181">
        <f>'Données projet'!D40</f>
        <v>44</v>
      </c>
      <c r="C27" s="193">
        <v>60</v>
      </c>
      <c r="D27" s="182">
        <f t="shared" si="2"/>
        <v>2640</v>
      </c>
      <c r="E27" s="193">
        <v>60</v>
      </c>
      <c r="F27" s="233"/>
      <c r="G27" s="229"/>
      <c r="H27" s="190"/>
      <c r="I27" s="191"/>
      <c r="K27" s="208"/>
      <c r="L27" s="291"/>
      <c r="M27" s="292"/>
      <c r="N27" s="292"/>
      <c r="O27" s="292"/>
      <c r="P27" s="293"/>
      <c r="Q27" s="234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85</v>
      </c>
      <c r="B28" s="181">
        <f>'Données projet'!D41</f>
        <v>34</v>
      </c>
      <c r="C28" s="193">
        <v>60</v>
      </c>
      <c r="D28" s="182">
        <f t="shared" si="2"/>
        <v>2040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95</v>
      </c>
      <c r="B29" s="181">
        <f>'Données projet'!D42</f>
        <v>32</v>
      </c>
      <c r="C29" s="193">
        <v>60</v>
      </c>
      <c r="D29" s="182">
        <f t="shared" si="2"/>
        <v>1920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105</v>
      </c>
      <c r="B30" s="181">
        <f>'Données projet'!D43</f>
        <v>43</v>
      </c>
      <c r="C30" s="193">
        <v>60</v>
      </c>
      <c r="D30" s="182">
        <f t="shared" si="2"/>
        <v>2580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7573.3077133720426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115</v>
      </c>
      <c r="B31" s="181">
        <f>'Données projet'!D44</f>
        <v>44</v>
      </c>
      <c r="C31" s="193">
        <v>120</v>
      </c>
      <c r="D31" s="182">
        <f t="shared" si="2"/>
        <v>5280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125</v>
      </c>
      <c r="B32" s="181">
        <f>'Données projet'!D45</f>
        <v>47</v>
      </c>
      <c r="C32" s="193">
        <v>120</v>
      </c>
      <c r="D32" s="182">
        <f t="shared" si="2"/>
        <v>5640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135</v>
      </c>
      <c r="B33" s="181">
        <f>'Données projet'!D46</f>
        <v>50</v>
      </c>
      <c r="C33" s="193">
        <v>120</v>
      </c>
      <c r="D33" s="182">
        <f t="shared" si="2"/>
        <v>6000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350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145</v>
      </c>
      <c r="B34" s="181">
        <f>'Données projet'!D47</f>
        <v>44</v>
      </c>
      <c r="C34" s="193">
        <v>120</v>
      </c>
      <c r="D34" s="182">
        <f t="shared" si="2"/>
        <v>5280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334.9282296650718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155</v>
      </c>
      <c r="B35" s="181">
        <f>'Données projet'!D48</f>
        <v>51</v>
      </c>
      <c r="C35" s="193">
        <v>160</v>
      </c>
      <c r="D35" s="182">
        <f t="shared" si="2"/>
        <v>8160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320.5054829330831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165</v>
      </c>
      <c r="B36" s="181">
        <f>'Données projet'!D49</f>
        <v>45</v>
      </c>
      <c r="C36" s="193">
        <v>160</v>
      </c>
      <c r="D36" s="182">
        <f t="shared" si="2"/>
        <v>7200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306.70381141921825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170</v>
      </c>
      <c r="B37" s="181">
        <f>'Données projet'!D50</f>
        <v>448</v>
      </c>
      <c r="C37" s="193">
        <v>160</v>
      </c>
      <c r="D37" s="182">
        <f t="shared" si="2"/>
        <v>71680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293.49647025762522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280.85786627523942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268.76350839735841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257.18996018885969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246.11479443910025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235.51654970248828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225.37468871051516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215.66955857465564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Merisier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206.38235270301979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197.49507435695674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188.99050177699215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180.85215481051878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173.06426297657308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165.61173490581155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158.48012909647039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151.65562592963676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145.12500088960459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27</v>
      </c>
      <c r="C54" s="191">
        <v>8</v>
      </c>
      <c r="D54" s="179">
        <f>B54*C54</f>
        <v>216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138.87559893742065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16</v>
      </c>
      <c r="C55" s="191">
        <v>8</v>
      </c>
      <c r="D55" s="179">
        <f t="shared" ref="D55:D73" si="4">B55*C55</f>
        <v>128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132.89530998796238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23</v>
      </c>
      <c r="C56" s="191">
        <v>20</v>
      </c>
      <c r="D56" s="179">
        <f t="shared" si="4"/>
        <v>460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127.17254544302619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29</v>
      </c>
      <c r="C57" s="191">
        <v>40</v>
      </c>
      <c r="D57" s="179">
        <f t="shared" si="4"/>
        <v>1160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121.69621573495333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32</v>
      </c>
      <c r="C58" s="191">
        <v>40</v>
      </c>
      <c r="D58" s="179">
        <f t="shared" si="4"/>
        <v>1280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116.45570883727592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36</v>
      </c>
      <c r="C59" s="191">
        <v>60</v>
      </c>
      <c r="D59" s="179">
        <f t="shared" si="4"/>
        <v>2160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111.44086970074254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35</v>
      </c>
      <c r="C60" s="191">
        <v>60</v>
      </c>
      <c r="D60" s="179">
        <f t="shared" si="4"/>
        <v>2100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106.64198057487323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35</v>
      </c>
      <c r="C61" s="191">
        <v>60</v>
      </c>
      <c r="D61" s="179">
        <f t="shared" si="4"/>
        <v>2100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102.04974217691222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37</v>
      </c>
      <c r="C62" s="191">
        <v>60</v>
      </c>
      <c r="D62" s="179">
        <f t="shared" si="4"/>
        <v>2220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97.655255671686319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37</v>
      </c>
      <c r="C63" s="191">
        <v>60</v>
      </c>
      <c r="D63" s="179">
        <f t="shared" si="4"/>
        <v>2220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93.450005427451046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70</v>
      </c>
      <c r="B64" s="181">
        <f>'Données projet'!D72</f>
        <v>32</v>
      </c>
      <c r="C64" s="191">
        <v>60</v>
      </c>
      <c r="D64" s="179">
        <f t="shared" si="4"/>
        <v>1920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89.425842514307206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31</v>
      </c>
      <c r="C65" s="191">
        <v>80</v>
      </c>
      <c r="D65" s="179">
        <f t="shared" si="4"/>
        <v>2480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85.574968913212686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80</v>
      </c>
      <c r="B66" s="181">
        <f>'Données projet'!D74</f>
        <v>349</v>
      </c>
      <c r="C66" s="191">
        <v>80</v>
      </c>
      <c r="D66" s="179">
        <f t="shared" si="4"/>
        <v>27920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81.889922404988226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78.363562110036582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74.98905465075272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71.759860909811223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68.669723358671035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65.712653931742622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62.88292242272022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60.175045380593524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57.583775483821562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55.104091372078059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Noyer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52.731187915864169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50.460466905133188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48.287528138883431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46.208160898453052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44.218335787993347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42.314196926309442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40.492054474937262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38.748377487978253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37.079787069835646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60</v>
      </c>
      <c r="B85" s="181">
        <f>'Données projet'!D88</f>
        <v>130</v>
      </c>
      <c r="C85" s="191">
        <v>250</v>
      </c>
      <c r="D85" s="179">
        <f>B85*C85</f>
        <v>32500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35.483049827593931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33.955071605353041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32.492891488376131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31.093676065431698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29.754713938212159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28.473410467188671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27.247282743721222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26.073954778680598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24.951152898258947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3" ma:contentTypeDescription="Create a new document." ma:contentTypeScope="" ma:versionID="25371aabeda3acd01862d33b55232c08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306a45991ede4ccc2d4bf1522a3a21d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D7729-48A9-4429-BF91-8F64F4ED44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AA408-98C5-4F5B-BCB2-5F9330B7877A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6FB876A6-5984-456B-9035-402541928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Anna CROS</cp:lastModifiedBy>
  <dcterms:created xsi:type="dcterms:W3CDTF">2021-02-01T08:22:39Z</dcterms:created>
  <dcterms:modified xsi:type="dcterms:W3CDTF">2023-03-13T18:30:46Z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1959800</vt:r8>
  </property>
  <property fmtid="{D5CDD505-2E9C-101B-9397-08002B2CF9AE}" pid="4" name="MediaServiceImageTags">
    <vt:lpwstr/>
  </property>
</Properties>
</file>