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ele\Desktop\MALLERET\documents MTE\"/>
    </mc:Choice>
  </mc:AlternateContent>
  <xr:revisionPtr revIDLastSave="0" documentId="13_ncr:1_{A9B633D8-4A9D-43BF-AE19-483E2D9AF563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BQ4" i="2"/>
  <c r="EC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HG10" i="2"/>
  <c r="EB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H20" i="2"/>
  <c r="FS20" i="2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HH22" i="2"/>
  <c r="EW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FS28" i="2"/>
  <c r="HG28" i="2"/>
  <c r="HI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V33" i="2"/>
  <c r="EW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EB35" i="2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HG38" i="2"/>
  <c r="HI38" i="2"/>
  <c r="FS38" i="2"/>
  <c r="EW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HI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HG57" i="2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HI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W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HG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EX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HH105" i="2"/>
  <c r="FS105" i="2"/>
  <c r="EV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EA107" i="2"/>
  <c r="HG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B113" i="2"/>
  <c r="EC113" i="2"/>
  <c r="FS113" i="2"/>
  <c r="HG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FS118" i="2"/>
  <c r="HH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HI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FS140" i="2"/>
  <c r="HH140" i="2"/>
  <c r="HG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FS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HH146" i="2"/>
  <c r="HG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FS150" i="2"/>
  <c r="HI150" i="2"/>
  <c r="HG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N17" i="6" s="1"/>
  <c r="N19" i="6" s="1"/>
  <c r="T24" i="6" s="1"/>
  <c r="T25" i="6" s="1"/>
  <c r="T26" i="6" s="1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D154" i="2"/>
  <c r="EY154" i="2"/>
  <c r="DI154" i="2"/>
  <c r="HH155" i="2"/>
  <c r="HG155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D155" i="2"/>
  <c r="EY155" i="2"/>
  <c r="FS156" i="2"/>
  <c r="HH156" i="2"/>
  <c r="HI156" i="2"/>
  <c r="HG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H157" i="2"/>
  <c r="HG157" i="2"/>
  <c r="EX157" i="2"/>
  <c r="EC157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G158" i="2"/>
  <c r="HH158" i="2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D159" i="2"/>
  <c r="FS160" i="2"/>
  <c r="DG160" i="2"/>
  <c r="HI160" i="2"/>
  <c r="HG160" i="2"/>
  <c r="EY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HG161" i="2"/>
  <c r="EX161" i="2"/>
  <c r="ED160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D161" i="2"/>
  <c r="DI161" i="2"/>
  <c r="HG162" i="2"/>
  <c r="EW162" i="2"/>
  <c r="EY161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EY162" i="2"/>
  <c r="HG163" i="2"/>
  <c r="HI163" i="2"/>
  <c r="EV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HG164" i="2"/>
  <c r="ED163" i="2"/>
  <c r="EY163" i="2"/>
  <c r="DI163" i="2"/>
  <c r="FR164" i="2"/>
  <c r="FS164" i="2"/>
  <c r="EX164" i="2"/>
  <c r="EV164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ED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HH167" i="2"/>
  <c r="HI167" i="2"/>
  <c r="FR167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B168" i="2"/>
  <c r="DG168" i="2"/>
  <c r="DI167" i="2"/>
  <c r="EV168" i="2"/>
  <c r="EW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EB172" i="2"/>
  <c r="EY171" i="2"/>
  <c r="HI172" i="2"/>
  <c r="HG172" i="2"/>
  <c r="EW172" i="2"/>
  <c r="EV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B173" i="2"/>
  <c r="ED172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HI175" i="2"/>
  <c r="FS175" i="2"/>
  <c r="EW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S177" i="2"/>
  <c r="FQ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FQ178" i="2"/>
  <c r="FS178" i="2"/>
  <c r="HG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HH179" i="2"/>
  <c r="HG179" i="2"/>
  <c r="ED178" i="2"/>
  <c r="DF179" i="2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HI180" i="2"/>
  <c r="ED179" i="2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ED184" i="2"/>
  <c r="EY184" i="2"/>
  <c r="HI185" i="2"/>
  <c r="HH185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B186" i="2"/>
  <c r="ED185" i="2"/>
  <c r="EA186" i="2"/>
  <c r="HH186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EY186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ED187" i="2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HH189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D189" i="2"/>
  <c r="EV190" i="2"/>
  <c r="EY189" i="2"/>
  <c r="HH190" i="2"/>
  <c r="HG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B192" i="2" l="1"/>
  <c r="EY191" i="2"/>
  <c r="EW192" i="2"/>
  <c r="HG192" i="2"/>
  <c r="HH192" i="2"/>
  <c r="HI192" i="2"/>
  <c r="EV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EA193" i="2"/>
  <c r="EY192" i="2"/>
  <c r="FQ193" i="2"/>
  <c r="HI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A194" i="2"/>
  <c r="EB194" i="2"/>
  <c r="FQ194" i="2"/>
  <c r="HI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A195" i="2"/>
  <c r="EB195" i="2"/>
  <c r="ED194" i="2"/>
  <c r="EY194" i="2"/>
  <c r="FQ195" i="2"/>
  <c r="DH195" i="2"/>
  <c r="HG195" i="2"/>
  <c r="HI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C197" i="2"/>
  <c r="EW197" i="2"/>
  <c r="EY196" i="2"/>
  <c r="FS197" i="2"/>
  <c r="HH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FS199" i="2"/>
  <c r="HH199" i="2"/>
  <c r="HG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Y200" i="2"/>
  <c r="DI200" i="2"/>
  <c r="HJ200" i="2"/>
  <c r="HG201" i="2"/>
  <c r="HH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HI202" i="2"/>
  <c r="HH202" i="2"/>
  <c r="HG202" i="2"/>
  <c r="ED201" i="2"/>
  <c r="EW202" i="2"/>
  <c r="EX202" i="2"/>
  <c r="FR202" i="2"/>
  <c r="FS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GT11" i="2" a="1"/>
  <c r="GT11" i="2" s="1"/>
  <c r="DN49" i="2" a="1"/>
  <c r="DN49" i="2" s="1"/>
  <c r="DN6" i="2" a="1"/>
  <c r="DN6" i="2" s="1"/>
  <c r="DO6" i="2" s="1"/>
  <c r="AX200" i="2"/>
  <c r="BC83" i="2" l="1" a="1"/>
  <c r="BC83" i="2" s="1"/>
  <c r="BC151" i="2" a="1"/>
  <c r="BC151" i="2" s="1"/>
  <c r="BC34" i="2" a="1"/>
  <c r="BC34" i="2" s="1"/>
  <c r="BC18" i="2" a="1"/>
  <c r="BC18" i="2" s="1"/>
  <c r="BC32" i="2" a="1"/>
  <c r="BC32" i="2" s="1"/>
  <c r="BC38" i="2" a="1"/>
  <c r="BC38" i="2" s="1"/>
  <c r="FY142" i="2" a="1"/>
  <c r="FY142" i="2" s="1"/>
  <c r="FY99" i="2" a="1"/>
  <c r="FY99" i="2" s="1"/>
  <c r="FY121" i="2" a="1"/>
  <c r="FY121" i="2" s="1"/>
  <c r="FY80" i="2" a="1"/>
  <c r="FY80" i="2" s="1"/>
  <c r="FY196" i="2" a="1"/>
  <c r="FY196" i="2" s="1"/>
  <c r="FY82" i="2" a="1"/>
  <c r="FY82" i="2" s="1"/>
  <c r="FY115" i="2" a="1"/>
  <c r="FY115" i="2" s="1"/>
  <c r="FY104" i="2" a="1"/>
  <c r="FY104" i="2" s="1"/>
  <c r="FY182" i="2" a="1"/>
  <c r="FY182" i="2" s="1"/>
  <c r="FY86" i="2" a="1"/>
  <c r="FY86" i="2" s="1"/>
  <c r="FY167" i="2" a="1"/>
  <c r="FY167" i="2" s="1"/>
  <c r="FY72" i="2" a="1"/>
  <c r="FY72" i="2" s="1"/>
  <c r="FY58" i="2" a="1"/>
  <c r="FY58" i="2" s="1"/>
  <c r="FY30" i="2" a="1"/>
  <c r="FY30" i="2" s="1"/>
  <c r="FY42" i="2" a="1"/>
  <c r="FY42" i="2" s="1"/>
  <c r="FY172" i="2" a="1"/>
  <c r="FY172" i="2" s="1"/>
  <c r="FY178" i="2" a="1"/>
  <c r="FY178" i="2" s="1"/>
  <c r="FY34" i="2" a="1"/>
  <c r="FY34" i="2" s="1"/>
  <c r="FY164" i="2" a="1"/>
  <c r="FY164" i="2" s="1"/>
  <c r="FY149" i="2" a="1"/>
  <c r="FY149" i="2" s="1"/>
  <c r="FY24" i="2" a="1"/>
  <c r="FY24" i="2" s="1"/>
  <c r="FY126" i="2" a="1"/>
  <c r="FY126" i="2" s="1"/>
  <c r="FY47" i="2" a="1"/>
  <c r="FY47" i="2" s="1"/>
  <c r="FY124" i="2" a="1"/>
  <c r="FY124" i="2" s="1"/>
  <c r="FY188" i="2" a="1"/>
  <c r="FY188" i="2" s="1"/>
  <c r="FY169" i="2" a="1"/>
  <c r="FY169" i="2" s="1"/>
  <c r="FY28" i="2" a="1"/>
  <c r="FY28" i="2" s="1"/>
  <c r="FY62" i="2" a="1"/>
  <c r="FY62" i="2" s="1"/>
  <c r="FY78" i="2" a="1"/>
  <c r="FY78" i="2" s="1"/>
  <c r="FY190" i="2" a="1"/>
  <c r="FY190" i="2" s="1"/>
  <c r="FY174" i="2" a="1"/>
  <c r="FY174" i="2" s="1"/>
  <c r="FY116" i="2" a="1"/>
  <c r="FY116" i="2" s="1"/>
  <c r="FY55" i="2" a="1"/>
  <c r="FY55" i="2" s="1"/>
  <c r="FY186" i="2" a="1"/>
  <c r="FY186" i="2" s="1"/>
  <c r="FY92" i="2" a="1"/>
  <c r="FY92" i="2" s="1"/>
  <c r="FY111" i="2" a="1"/>
  <c r="FY111" i="2" s="1"/>
  <c r="FY73" i="2" a="1"/>
  <c r="FY73" i="2" s="1"/>
  <c r="FY152" i="2" a="1"/>
  <c r="FY152" i="2" s="1"/>
  <c r="FY173" i="2" a="1"/>
  <c r="FY173" i="2" s="1"/>
  <c r="FY153" i="2" a="1"/>
  <c r="FY153" i="2" s="1"/>
  <c r="FY159" i="2" a="1"/>
  <c r="FY159" i="2" s="1"/>
  <c r="FY143" i="2" a="1"/>
  <c r="FY143" i="2" s="1"/>
  <c r="FY191" i="2" a="1"/>
  <c r="FY191" i="2" s="1"/>
  <c r="FY110" i="2" a="1"/>
  <c r="FY110" i="2" s="1"/>
  <c r="FY102" i="2" a="1"/>
  <c r="FY102" i="2" s="1"/>
  <c r="FY18" i="2" a="1"/>
  <c r="FY18" i="2" s="1"/>
  <c r="FY69" i="2" a="1"/>
  <c r="FY69" i="2" s="1"/>
  <c r="FY66" i="2" a="1"/>
  <c r="FY66" i="2" s="1"/>
  <c r="FY120" i="2" a="1"/>
  <c r="FY120" i="2" s="1"/>
  <c r="FY71" i="2" a="1"/>
  <c r="FY71" i="2" s="1"/>
  <c r="FY133" i="2" a="1"/>
  <c r="FY133" i="2" s="1"/>
  <c r="FY146" i="2" a="1"/>
  <c r="FY146" i="2" s="1"/>
  <c r="FY140" i="2" a="1"/>
  <c r="FY140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22" i="2" a="1"/>
  <c r="FY22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BX107" i="2" a="1"/>
  <c r="BX107" i="2" s="1"/>
  <c r="GT107" i="2" a="1"/>
  <c r="GT107" i="2" s="1"/>
  <c r="GT174" i="2" a="1"/>
  <c r="GT174" i="2" s="1"/>
  <c r="HJ202" i="2"/>
  <c r="GT189" i="2" a="1"/>
  <c r="GT189" i="2" s="1"/>
  <c r="GT198" i="2" a="1"/>
  <c r="GT198" i="2" s="1"/>
  <c r="GT190" i="2" a="1"/>
  <c r="GT190" i="2" s="1"/>
  <c r="GT38" i="2" a="1"/>
  <c r="GT38" i="2" s="1"/>
  <c r="GT68" i="2" a="1"/>
  <c r="GT68" i="2" s="1"/>
  <c r="GT126" i="2" a="1"/>
  <c r="GT126" i="2" s="1"/>
  <c r="GT191" i="2" a="1"/>
  <c r="GT191" i="2" s="1"/>
  <c r="GT15" i="2" a="1"/>
  <c r="GT15" i="2" s="1"/>
  <c r="GT74" i="2" a="1"/>
  <c r="GT74" i="2" s="1"/>
  <c r="GT138" i="2" a="1"/>
  <c r="GT138" i="2" s="1"/>
  <c r="GT178" i="2" a="1"/>
  <c r="GT178" i="2" s="1"/>
  <c r="GT33" i="2" a="1"/>
  <c r="GT33" i="2" s="1"/>
  <c r="GT122" i="2" a="1"/>
  <c r="GT122" i="2" s="1"/>
  <c r="GT184" i="2" a="1"/>
  <c r="GT184" i="2" s="1"/>
  <c r="GT21" i="2" a="1"/>
  <c r="GT21" i="2" s="1"/>
  <c r="GT12" i="2" a="1"/>
  <c r="GT12" i="2" s="1"/>
  <c r="GT51" i="2" a="1"/>
  <c r="GT51" i="2" s="1"/>
  <c r="GT102" i="2" a="1"/>
  <c r="GT102" i="2" s="1"/>
  <c r="GT147" i="2" a="1"/>
  <c r="GT147" i="2" s="1"/>
  <c r="GT152" i="2" a="1"/>
  <c r="GT152" i="2" s="1"/>
  <c r="GT181" i="2" a="1"/>
  <c r="GT181" i="2" s="1"/>
  <c r="GT115" i="2" a="1"/>
  <c r="GT115" i="2" s="1"/>
  <c r="GT133" i="2" a="1"/>
  <c r="GT133" i="2" s="1"/>
  <c r="HH203" i="2"/>
  <c r="GT121" i="2" a="1"/>
  <c r="GT121" i="2" s="1"/>
  <c r="HG203" i="2"/>
  <c r="BC185" i="2" a="1"/>
  <c r="BC185" i="2" s="1"/>
  <c r="BC31" i="2" a="1"/>
  <c r="BC31" i="2" s="1"/>
  <c r="BC164" i="2" a="1"/>
  <c r="BC164" i="2" s="1"/>
  <c r="BC192" i="2" a="1"/>
  <c r="BC192" i="2" s="1"/>
  <c r="BC130" i="2" a="1"/>
  <c r="BC130" i="2" s="1"/>
  <c r="BC7" i="2" a="1"/>
  <c r="BC7" i="2" s="1"/>
  <c r="BC117" i="2" a="1"/>
  <c r="BC117" i="2" s="1"/>
  <c r="BC84" i="2" a="1"/>
  <c r="BC84" i="2" s="1"/>
  <c r="BC143" i="2" a="1"/>
  <c r="BC143" i="2" s="1"/>
  <c r="BC181" i="2" a="1"/>
  <c r="BC181" i="2" s="1"/>
  <c r="BC114" i="2" a="1"/>
  <c r="BC114" i="2" s="1"/>
  <c r="BC126" i="2" a="1"/>
  <c r="BC126" i="2" s="1"/>
  <c r="BC55" i="2" a="1"/>
  <c r="BC55" i="2" s="1"/>
  <c r="BC82" i="2" a="1"/>
  <c r="BC82" i="2" s="1"/>
  <c r="BC47" i="2" a="1"/>
  <c r="BC47" i="2" s="1"/>
  <c r="BC68" i="2" a="1"/>
  <c r="BC68" i="2" s="1"/>
  <c r="BC58" i="2" a="1"/>
  <c r="BC58" i="2" s="1"/>
  <c r="BC65" i="2" a="1"/>
  <c r="BC65" i="2" s="1"/>
  <c r="DN132" i="2" a="1"/>
  <c r="DN132" i="2" s="1"/>
  <c r="DN30" i="2" a="1"/>
  <c r="DN30" i="2" s="1"/>
  <c r="DN164" i="2" a="1"/>
  <c r="DN164" i="2" s="1"/>
  <c r="DN63" i="2" a="1"/>
  <c r="DN63" i="2" s="1"/>
  <c r="DN80" i="2" a="1"/>
  <c r="DN80" i="2" s="1"/>
  <c r="DN135" i="2" a="1"/>
  <c r="DN135" i="2" s="1"/>
  <c r="DN45" i="2" a="1"/>
  <c r="DN45" i="2" s="1"/>
  <c r="DN65" i="2" a="1"/>
  <c r="DN65" i="2" s="1"/>
  <c r="DN70" i="2" a="1"/>
  <c r="DN70" i="2" s="1"/>
  <c r="DN123" i="2" a="1"/>
  <c r="DN123" i="2" s="1"/>
  <c r="DN55" i="2" a="1"/>
  <c r="DN55" i="2" s="1"/>
  <c r="DN150" i="2" a="1"/>
  <c r="DN150" i="2" s="1"/>
  <c r="DN31" i="2" a="1"/>
  <c r="DN31" i="2" s="1"/>
  <c r="DN170" i="2" a="1"/>
  <c r="DN170" i="2" s="1"/>
  <c r="DN43" i="2" a="1"/>
  <c r="DN43" i="2" s="1"/>
  <c r="DN103" i="2" a="1"/>
  <c r="DN103" i="2" s="1"/>
  <c r="DN115" i="2" a="1"/>
  <c r="DN115" i="2" s="1"/>
  <c r="DN29" i="2" a="1"/>
  <c r="DN29" i="2" s="1"/>
  <c r="DN153" i="2" a="1"/>
  <c r="DN153" i="2" s="1"/>
  <c r="DN41" i="2" a="1"/>
  <c r="DN41" i="2" s="1"/>
  <c r="DN46" i="2" a="1"/>
  <c r="DN46" i="2" s="1"/>
  <c r="DN110" i="2" a="1"/>
  <c r="DN110" i="2" s="1"/>
  <c r="DN38" i="2" a="1"/>
  <c r="DN38" i="2" s="1"/>
  <c r="DN192" i="2" a="1"/>
  <c r="DN192" i="2" s="1"/>
  <c r="DN129" i="2" a="1"/>
  <c r="DN129" i="2" s="1"/>
  <c r="DN186" i="2" a="1"/>
  <c r="DN186" i="2" s="1"/>
  <c r="DN56" i="2" a="1"/>
  <c r="DN56" i="2" s="1"/>
  <c r="DN66" i="2" a="1"/>
  <c r="DN66" i="2" s="1"/>
  <c r="DN176" i="2" a="1"/>
  <c r="DN176" i="2" s="1"/>
  <c r="DN167" i="2" a="1"/>
  <c r="DN167" i="2" s="1"/>
  <c r="DN168" i="2" a="1"/>
  <c r="DN168" i="2" s="1"/>
  <c r="DN188" i="2" a="1"/>
  <c r="DN188" i="2" s="1"/>
  <c r="DN113" i="2" a="1"/>
  <c r="DN113" i="2" s="1"/>
  <c r="DN124" i="2" a="1"/>
  <c r="DN124" i="2" s="1"/>
  <c r="DN137" i="2" a="1"/>
  <c r="DN137" i="2" s="1"/>
  <c r="DN190" i="2" a="1"/>
  <c r="DN190" i="2" s="1"/>
  <c r="DN16" i="2" a="1"/>
  <c r="DN16" i="2" s="1"/>
  <c r="DN86" i="2" a="1"/>
  <c r="DN86" i="2" s="1"/>
  <c r="DN25" i="2" a="1"/>
  <c r="DN25" i="2" s="1"/>
  <c r="DN155" i="2" a="1"/>
  <c r="DN155" i="2" s="1"/>
  <c r="DN50" i="2" a="1"/>
  <c r="DN50" i="2" s="1"/>
  <c r="DN187" i="2" a="1"/>
  <c r="DN187" i="2" s="1"/>
  <c r="DN133" i="2" a="1"/>
  <c r="DN133" i="2" s="1"/>
  <c r="DN162" i="2" a="1"/>
  <c r="DN162" i="2" s="1"/>
  <c r="DN114" i="2" a="1"/>
  <c r="DN114" i="2" s="1"/>
  <c r="DN177" i="2" a="1"/>
  <c r="DN177" i="2" s="1"/>
  <c r="DN184" i="2" a="1"/>
  <c r="DN184" i="2" s="1"/>
  <c r="DN152" i="2" a="1"/>
  <c r="DN152" i="2" s="1"/>
  <c r="EI37" i="2" a="1"/>
  <c r="EI37" i="2" s="1"/>
  <c r="EI16" i="2" a="1"/>
  <c r="EI16" i="2" s="1"/>
  <c r="EI20" i="2" a="1"/>
  <c r="EI20" i="2" s="1"/>
  <c r="EI113" i="2" a="1"/>
  <c r="EI113" i="2" s="1"/>
  <c r="EI38" i="2" a="1"/>
  <c r="EI38" i="2" s="1"/>
  <c r="EI87" i="2" a="1"/>
  <c r="EI87" i="2" s="1"/>
  <c r="EY202" i="2"/>
  <c r="EI150" i="2" a="1"/>
  <c r="EI150" i="2" s="1"/>
  <c r="EI145" i="2" a="1"/>
  <c r="EI145" i="2" s="1"/>
  <c r="EI128" i="2" a="1"/>
  <c r="EI128" i="2" s="1"/>
  <c r="EI109" i="2" a="1"/>
  <c r="EI109" i="2" s="1"/>
  <c r="EI162" i="2" a="1"/>
  <c r="EI162" i="2" s="1"/>
  <c r="EI35" i="2" a="1"/>
  <c r="EI35" i="2" s="1"/>
  <c r="EI34" i="2" a="1"/>
  <c r="EI34" i="2" s="1"/>
  <c r="EI29" i="2" a="1"/>
  <c r="EI29" i="2" s="1"/>
  <c r="EI139" i="2" a="1"/>
  <c r="EI139" i="2" s="1"/>
  <c r="EI165" i="2" a="1"/>
  <c r="EI165" i="2" s="1"/>
  <c r="EI106" i="2" a="1"/>
  <c r="EI106" i="2" s="1"/>
  <c r="EI67" i="2" a="1"/>
  <c r="EI67" i="2" s="1"/>
  <c r="EI71" i="2" a="1"/>
  <c r="EI71" i="2" s="1"/>
  <c r="EI153" i="2" a="1"/>
  <c r="EI153" i="2" s="1"/>
  <c r="EI170" i="2" a="1"/>
  <c r="EI170" i="2" s="1"/>
  <c r="EI57" i="2" a="1"/>
  <c r="EI57" i="2" s="1"/>
  <c r="EI142" i="2" a="1"/>
  <c r="EI142" i="2" s="1"/>
  <c r="EI166" i="2" a="1"/>
  <c r="EI166" i="2" s="1"/>
  <c r="EI36" i="2" a="1"/>
  <c r="EI36" i="2" s="1"/>
  <c r="EI195" i="2" a="1"/>
  <c r="EI195" i="2" s="1"/>
  <c r="EI178" i="2" a="1"/>
  <c r="EI178" i="2" s="1"/>
  <c r="EI198" i="2" a="1"/>
  <c r="EI198" i="2" s="1"/>
  <c r="FS203" i="2"/>
  <c r="FR203" i="2"/>
  <c r="FD14" i="2" a="1"/>
  <c r="FD14" i="2" s="1"/>
  <c r="FD59" i="2" a="1"/>
  <c r="FD59" i="2" s="1"/>
  <c r="FD21" i="2" a="1"/>
  <c r="FD21" i="2" s="1"/>
  <c r="FD194" i="2" a="1"/>
  <c r="FD194" i="2" s="1"/>
  <c r="FD160" i="2" a="1"/>
  <c r="FD160" i="2" s="1"/>
  <c r="FD82" i="2" a="1"/>
  <c r="FD82" i="2" s="1"/>
  <c r="FD137" i="2" a="1"/>
  <c r="FD137" i="2" s="1"/>
  <c r="FD43" i="2" a="1"/>
  <c r="FD43" i="2" s="1"/>
  <c r="FD189" i="2" a="1"/>
  <c r="FD189" i="2" s="1"/>
  <c r="FD19" i="2" a="1"/>
  <c r="FD19" i="2" s="1"/>
  <c r="FD64" i="2" a="1"/>
  <c r="FD64" i="2" s="1"/>
  <c r="FD144" i="2" a="1"/>
  <c r="FD144" i="2" s="1"/>
  <c r="FD159" i="2" a="1"/>
  <c r="FD159" i="2" s="1"/>
  <c r="FD48" i="2" a="1"/>
  <c r="FD48" i="2" s="1"/>
  <c r="FD107" i="2" a="1"/>
  <c r="FD107" i="2" s="1"/>
  <c r="FD44" i="2" a="1"/>
  <c r="FD44" i="2" s="1"/>
  <c r="FD167" i="2" a="1"/>
  <c r="FD167" i="2" s="1"/>
  <c r="FD188" i="2" a="1"/>
  <c r="FD188" i="2" s="1"/>
  <c r="FD187" i="2" a="1"/>
  <c r="FD187" i="2" s="1"/>
  <c r="FD131" i="2" a="1"/>
  <c r="FD131" i="2" s="1"/>
  <c r="FD60" i="2" a="1"/>
  <c r="FD60" i="2" s="1"/>
  <c r="AH163" i="2" a="1"/>
  <c r="AH163" i="2" s="1"/>
  <c r="AH62" i="2" a="1"/>
  <c r="AH62" i="2" s="1"/>
  <c r="AH166" i="2" a="1"/>
  <c r="AH166" i="2" s="1"/>
  <c r="AH19" i="2" a="1"/>
  <c r="AH19" i="2" s="1"/>
  <c r="AH90" i="2" a="1"/>
  <c r="AH90" i="2" s="1"/>
  <c r="AH151" i="2" a="1"/>
  <c r="AH151" i="2" s="1"/>
  <c r="AH92" i="2" a="1"/>
  <c r="AH92" i="2" s="1"/>
  <c r="AH199" i="2" a="1"/>
  <c r="AH199" i="2" s="1"/>
  <c r="CS72" i="2" a="1"/>
  <c r="CS72" i="2" s="1"/>
  <c r="CS134" i="2" a="1"/>
  <c r="CS134" i="2" s="1"/>
  <c r="CS56" i="2" a="1"/>
  <c r="CS56" i="2" s="1"/>
  <c r="CS38" i="2" a="1"/>
  <c r="CS38" i="2" s="1"/>
  <c r="CS66" i="2" a="1"/>
  <c r="CS66" i="2" s="1"/>
  <c r="CS116" i="2" a="1"/>
  <c r="CS116" i="2" s="1"/>
  <c r="CS129" i="2" a="1"/>
  <c r="CS129" i="2" s="1"/>
  <c r="CS137" i="2" a="1"/>
  <c r="CS137" i="2" s="1"/>
  <c r="CS52" i="2" a="1"/>
  <c r="CS52" i="2" s="1"/>
  <c r="CS114" i="2" a="1"/>
  <c r="CS114" i="2" s="1"/>
  <c r="CS105" i="2" a="1"/>
  <c r="CS105" i="2" s="1"/>
  <c r="CS77" i="2" a="1"/>
  <c r="CS77" i="2" s="1"/>
  <c r="CS185" i="2" a="1"/>
  <c r="CS185" i="2" s="1"/>
  <c r="CS161" i="2" a="1"/>
  <c r="CS161" i="2" s="1"/>
  <c r="CS24" i="2" a="1"/>
  <c r="CS24" i="2" s="1"/>
  <c r="CS120" i="2" a="1"/>
  <c r="CS12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ED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GZ72" i="2" l="1"/>
  <c r="GZ46" i="2"/>
  <c r="GZ59" i="2"/>
  <c r="GZ102" i="2"/>
  <c r="GZ30" i="2"/>
  <c r="GZ188" i="2"/>
  <c r="GZ149" i="2"/>
  <c r="GZ131" i="2"/>
  <c r="GZ155" i="2"/>
  <c r="GZ91" i="2"/>
  <c r="GZ38" i="2"/>
  <c r="GZ172" i="2"/>
  <c r="GZ196" i="2"/>
  <c r="GZ116" i="2"/>
  <c r="GZ186" i="2"/>
  <c r="GZ124" i="2"/>
  <c r="GZ164" i="2"/>
  <c r="GZ64" i="2"/>
  <c r="GZ138" i="2"/>
  <c r="GZ125" i="2"/>
  <c r="GZ143" i="2"/>
  <c r="GZ84" i="2"/>
  <c r="GZ60" i="2"/>
  <c r="GZ61" i="2"/>
  <c r="GZ70" i="2"/>
  <c r="GZ73" i="2"/>
  <c r="GZ120" i="2"/>
  <c r="GZ157" i="2"/>
  <c r="GZ56" i="2"/>
  <c r="GZ198" i="2"/>
  <c r="GZ119" i="2"/>
  <c r="GZ158" i="2"/>
  <c r="GZ144" i="2"/>
  <c r="GZ44" i="2"/>
  <c r="GZ33" i="2"/>
  <c r="GZ140" i="2"/>
  <c r="GZ122" i="2"/>
  <c r="GZ5" i="2"/>
  <c r="GZ10" i="2"/>
  <c r="GZ52" i="2"/>
  <c r="GZ179" i="2"/>
  <c r="GZ105" i="2"/>
  <c r="GZ37" i="2"/>
  <c r="GZ176" i="2"/>
  <c r="GZ167" i="2"/>
  <c r="GZ69" i="2"/>
  <c r="GZ114" i="2"/>
  <c r="GZ203" i="2"/>
  <c r="GZ168" i="2"/>
  <c r="GZ197" i="2"/>
  <c r="GZ194" i="2"/>
  <c r="GZ200" i="2"/>
  <c r="GZ126" i="2"/>
  <c r="GZ19" i="2"/>
  <c r="GZ165" i="2"/>
  <c r="GZ48" i="2"/>
  <c r="GZ184" i="2"/>
  <c r="GZ82" i="2"/>
  <c r="GZ113" i="2"/>
  <c r="GZ98" i="2"/>
  <c r="GZ51" i="2"/>
  <c r="GZ78" i="2"/>
  <c r="GZ100" i="2"/>
  <c r="GZ22" i="2"/>
  <c r="GZ11" i="2"/>
  <c r="GZ112" i="2"/>
  <c r="GZ16" i="2"/>
  <c r="GZ90" i="2"/>
  <c r="GZ189" i="2"/>
  <c r="GZ191" i="2"/>
  <c r="GZ153" i="2"/>
  <c r="GZ128" i="2"/>
  <c r="GZ23" i="2"/>
  <c r="GZ156" i="2"/>
  <c r="GZ107" i="2"/>
  <c r="GZ118" i="2"/>
  <c r="GZ181" i="2"/>
  <c r="GZ27" i="2"/>
  <c r="GZ136" i="2"/>
  <c r="GZ148" i="2"/>
  <c r="GZ81" i="2"/>
  <c r="GZ134" i="2"/>
  <c r="GZ77" i="2"/>
  <c r="GZ202" i="2"/>
  <c r="GZ26" i="2"/>
  <c r="GZ180" i="2"/>
  <c r="GZ71" i="2"/>
  <c r="GZ160" i="2"/>
  <c r="GZ95" i="2"/>
  <c r="GZ92" i="2"/>
  <c r="GZ20" i="2"/>
  <c r="GZ49" i="2"/>
  <c r="GZ17" i="2"/>
  <c r="GZ24" i="2"/>
  <c r="GZ79" i="2"/>
  <c r="GZ35" i="2"/>
  <c r="GZ190" i="2"/>
  <c r="GZ87" i="2"/>
  <c r="GZ170" i="2"/>
  <c r="GZ103" i="2"/>
  <c r="GZ7" i="2"/>
  <c r="GZ201" i="2"/>
  <c r="GZ40" i="2"/>
  <c r="GZ74" i="2"/>
  <c r="GZ177" i="2"/>
  <c r="GZ175" i="2"/>
  <c r="GZ173" i="2"/>
  <c r="GZ108" i="2"/>
  <c r="GZ152" i="2"/>
  <c r="GZ85" i="2"/>
  <c r="GZ111" i="2"/>
  <c r="GZ62" i="2"/>
  <c r="GZ28" i="2"/>
  <c r="GZ36" i="2"/>
  <c r="GZ50" i="2"/>
  <c r="GZ54" i="2"/>
  <c r="GZ65" i="2"/>
  <c r="GZ66" i="2"/>
  <c r="GZ162" i="2"/>
  <c r="GZ127" i="2"/>
  <c r="GZ39" i="2"/>
  <c r="GZ4" i="2"/>
  <c r="GZ106" i="2"/>
  <c r="GZ76" i="2"/>
  <c r="GZ146" i="2"/>
  <c r="GZ41" i="2"/>
  <c r="GZ110" i="2"/>
  <c r="GZ154" i="2"/>
  <c r="GZ31" i="2"/>
  <c r="GZ163" i="2"/>
  <c r="GZ13" i="2"/>
  <c r="GZ15" i="2"/>
  <c r="GZ88" i="2"/>
  <c r="GZ93" i="2"/>
  <c r="GZ86" i="2"/>
  <c r="GZ18" i="2"/>
  <c r="GZ57" i="2"/>
  <c r="GZ195" i="2"/>
  <c r="GZ104" i="2"/>
  <c r="GZ129" i="2"/>
  <c r="GZ80" i="2"/>
  <c r="GZ199" i="2"/>
  <c r="GZ67" i="2"/>
  <c r="GZ135" i="2"/>
  <c r="GZ161" i="2"/>
  <c r="GZ174" i="2"/>
  <c r="GZ94" i="2"/>
  <c r="GZ132" i="2"/>
  <c r="GZ178" i="2"/>
  <c r="GZ25" i="2"/>
  <c r="GZ58" i="2"/>
  <c r="GZ187" i="2"/>
  <c r="GZ75" i="2"/>
  <c r="GZ96" i="2"/>
  <c r="GZ130" i="2"/>
  <c r="GZ53" i="2"/>
  <c r="GZ115" i="2"/>
  <c r="GZ182" i="2"/>
  <c r="GZ6" i="2"/>
  <c r="GZ137" i="2"/>
  <c r="GZ193" i="2"/>
  <c r="GZ147" i="2"/>
  <c r="GZ159" i="2"/>
  <c r="GZ169" i="2"/>
  <c r="GZ109" i="2"/>
  <c r="GZ45" i="2"/>
  <c r="GZ29" i="2"/>
  <c r="GZ32" i="2"/>
  <c r="GZ141" i="2"/>
  <c r="GZ171" i="2"/>
  <c r="GZ63" i="2"/>
  <c r="GZ183" i="2"/>
  <c r="GZ47" i="2"/>
  <c r="GZ123" i="2"/>
  <c r="GZ9" i="2"/>
  <c r="GZ12" i="2"/>
  <c r="GZ97" i="2"/>
  <c r="GZ101" i="2"/>
  <c r="GZ139" i="2"/>
  <c r="GZ83" i="2"/>
  <c r="GZ89" i="2"/>
  <c r="GZ117" i="2"/>
  <c r="GZ151" i="2"/>
  <c r="GZ192" i="2"/>
  <c r="GZ42" i="2"/>
  <c r="GZ34" i="2"/>
  <c r="GZ99" i="2"/>
  <c r="GZ185" i="2"/>
  <c r="GZ55" i="2"/>
  <c r="GZ133" i="2"/>
  <c r="GZ14" i="2"/>
  <c r="GZ68" i="2"/>
  <c r="GZ121" i="2"/>
  <c r="GZ8" i="2"/>
  <c r="GZ43" i="2"/>
  <c r="GZ145" i="2"/>
  <c r="GZ21" i="2"/>
  <c r="GZ142" i="2"/>
  <c r="GZ150" i="2"/>
  <c r="GZ166" i="2"/>
  <c r="GZ3" i="2"/>
  <c r="C15" i="4" s="1"/>
  <c r="E15" i="4" s="1"/>
  <c r="F15" i="4" s="1"/>
  <c r="G15" i="4" s="1"/>
  <c r="L15" i="4" s="1"/>
  <c r="FE67" i="2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E86" i="2" s="1"/>
  <c r="GV69" i="2"/>
  <c r="GW69" i="2" s="1"/>
  <c r="GX69" i="2" s="1"/>
  <c r="GY69" i="2" s="1"/>
  <c r="AJ69" i="2"/>
  <c r="AK69" i="2" s="1"/>
  <c r="AL69" i="2" s="1"/>
  <c r="AM69" i="2" s="1"/>
  <c r="GE134" i="2" l="1"/>
  <c r="GE54" i="2"/>
  <c r="GE200" i="2"/>
  <c r="GE145" i="2"/>
  <c r="GE149" i="2"/>
  <c r="GE112" i="2"/>
  <c r="GE50" i="2"/>
  <c r="GE195" i="2"/>
  <c r="GE156" i="2"/>
  <c r="GE150" i="2"/>
  <c r="GE126" i="2"/>
  <c r="GE61" i="2"/>
  <c r="GE94" i="2"/>
  <c r="GE135" i="2"/>
  <c r="GE30" i="2"/>
  <c r="GE21" i="2"/>
  <c r="GE58" i="2"/>
  <c r="GE178" i="2"/>
  <c r="GE57" i="2"/>
  <c r="GE73" i="2"/>
  <c r="GE72" i="2"/>
  <c r="GE5" i="2"/>
  <c r="GE120" i="2"/>
  <c r="GE175" i="2"/>
  <c r="GE87" i="2"/>
  <c r="GE59" i="2"/>
  <c r="GE46" i="2"/>
  <c r="GE75" i="2"/>
  <c r="GE91" i="2"/>
  <c r="GE122" i="2"/>
  <c r="GE70" i="2"/>
  <c r="GE27" i="2"/>
  <c r="GE56" i="2"/>
  <c r="GE187" i="2"/>
  <c r="GE154" i="2"/>
  <c r="GE92" i="2"/>
  <c r="GE79" i="2"/>
  <c r="GE131" i="2"/>
  <c r="GE65" i="2"/>
  <c r="GE36" i="2"/>
  <c r="GE22" i="2"/>
  <c r="GE66" i="2"/>
  <c r="GE78" i="2"/>
  <c r="GE180" i="2"/>
  <c r="GE49" i="2"/>
  <c r="GE166" i="2"/>
  <c r="GE176" i="2"/>
  <c r="GE76" i="2"/>
  <c r="GE8" i="2"/>
  <c r="GE171" i="2"/>
  <c r="GE203" i="2"/>
  <c r="GE177" i="2"/>
  <c r="GE173" i="2"/>
  <c r="GE163" i="2"/>
  <c r="GE9" i="2"/>
  <c r="GE111" i="2"/>
  <c r="GE193" i="2"/>
  <c r="GE25" i="2"/>
  <c r="GE99" i="2"/>
  <c r="GE143" i="2"/>
  <c r="GE164" i="2"/>
  <c r="GE199" i="2"/>
  <c r="GE64" i="2"/>
  <c r="GE127" i="2"/>
  <c r="GE89" i="2"/>
  <c r="GE15" i="2"/>
  <c r="GE152" i="2"/>
  <c r="GE32" i="2"/>
  <c r="GE10" i="2"/>
  <c r="GE84" i="2"/>
  <c r="GE138" i="2"/>
  <c r="GE44" i="2"/>
  <c r="GE23" i="2"/>
  <c r="GE104" i="2"/>
  <c r="GE123" i="2"/>
  <c r="GE19" i="2"/>
  <c r="GE130" i="2"/>
  <c r="GE157" i="2"/>
  <c r="GE136" i="2"/>
  <c r="GE16" i="2"/>
  <c r="GE43" i="2"/>
  <c r="GE155" i="2"/>
  <c r="GE68" i="2"/>
  <c r="GE182" i="2"/>
  <c r="GE159" i="2"/>
  <c r="GE3" i="2"/>
  <c r="C14" i="4" s="1"/>
  <c r="E14" i="4" s="1"/>
  <c r="F14" i="4" s="1"/>
  <c r="G14" i="4" s="1"/>
  <c r="L14" i="4" s="1"/>
  <c r="GE179" i="2"/>
  <c r="GE13" i="2"/>
  <c r="GE102" i="2"/>
  <c r="GE197" i="2"/>
  <c r="GE153" i="2"/>
  <c r="GE116" i="2"/>
  <c r="GE128" i="2"/>
  <c r="GE55" i="2"/>
  <c r="GE77" i="2"/>
  <c r="GE35" i="2"/>
  <c r="GE24" i="2"/>
  <c r="GE40" i="2"/>
  <c r="GE188" i="2"/>
  <c r="GE60" i="2"/>
  <c r="GE168" i="2"/>
  <c r="GE146" i="2"/>
  <c r="GE113" i="2"/>
  <c r="GE12" i="2"/>
  <c r="GE117" i="2"/>
  <c r="GE144" i="2"/>
  <c r="GE62" i="2"/>
  <c r="GE71" i="2"/>
  <c r="GE29" i="2"/>
  <c r="GE67" i="2"/>
  <c r="GE38" i="2"/>
  <c r="GE42" i="2"/>
  <c r="GE110" i="2"/>
  <c r="GE190" i="2"/>
  <c r="GE34" i="2"/>
  <c r="GE129" i="2"/>
  <c r="GE165" i="2"/>
  <c r="GE174" i="2"/>
  <c r="GE4" i="2"/>
  <c r="GE167" i="2"/>
  <c r="GE28" i="2"/>
  <c r="GE103" i="2"/>
  <c r="GE151" i="2"/>
  <c r="GE170" i="2"/>
  <c r="GE162" i="2"/>
  <c r="GE63" i="2"/>
  <c r="GE183" i="2"/>
  <c r="GE158" i="2"/>
  <c r="GE31" i="2"/>
  <c r="GE201" i="2"/>
  <c r="GE132" i="2"/>
  <c r="GE160" i="2"/>
  <c r="GE191" i="2"/>
  <c r="GE106" i="2"/>
  <c r="GE101" i="2"/>
  <c r="GE17" i="2"/>
  <c r="GE161" i="2"/>
  <c r="GE95" i="2"/>
  <c r="GE202" i="2"/>
  <c r="GE85" i="2"/>
  <c r="GE96" i="2"/>
  <c r="GE100" i="2"/>
  <c r="GE184" i="2"/>
  <c r="GE81" i="2"/>
  <c r="GE125" i="2"/>
  <c r="GE141" i="2"/>
  <c r="GE88" i="2"/>
  <c r="GE69" i="2"/>
  <c r="GE137" i="2"/>
  <c r="GE14" i="2"/>
  <c r="GE45" i="2"/>
  <c r="GE140" i="2"/>
  <c r="GE37" i="2"/>
  <c r="GE52" i="2"/>
  <c r="GE139" i="2"/>
  <c r="GE90" i="2"/>
  <c r="GE186" i="2"/>
  <c r="GE48" i="2"/>
  <c r="GE51" i="2"/>
  <c r="GE147" i="2"/>
  <c r="GE109" i="2"/>
  <c r="GE133" i="2"/>
  <c r="GE20" i="2"/>
  <c r="GE98" i="2"/>
  <c r="GE118" i="2"/>
  <c r="GE198" i="2"/>
  <c r="GE169" i="2"/>
  <c r="GE189" i="2"/>
  <c r="GE7" i="2"/>
  <c r="GE39" i="2"/>
  <c r="GE108" i="2"/>
  <c r="GE107" i="2"/>
  <c r="GE148" i="2"/>
  <c r="GE11" i="2"/>
  <c r="GE119" i="2"/>
  <c r="GE115" i="2"/>
  <c r="GE196" i="2"/>
  <c r="GE194" i="2"/>
  <c r="GE93" i="2"/>
  <c r="GE18" i="2"/>
  <c r="GE121" i="2"/>
  <c r="GE53" i="2"/>
  <c r="GE82" i="2"/>
  <c r="GE83" i="2"/>
  <c r="GE192" i="2"/>
  <c r="GE105" i="2"/>
  <c r="GE181" i="2"/>
  <c r="GE80" i="2"/>
  <c r="GE185" i="2"/>
  <c r="GE74" i="2"/>
  <c r="GE26" i="2"/>
  <c r="GE124" i="2"/>
  <c r="GE142" i="2"/>
  <c r="GE114" i="2"/>
  <c r="GE172" i="2"/>
  <c r="GE41" i="2"/>
  <c r="GE47" i="2"/>
  <c r="GE97" i="2"/>
  <c r="GE33" i="2"/>
  <c r="GE6" i="2"/>
  <c r="FE71" i="2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<sst xmlns="http://schemas.openxmlformats.org/spreadsheetml/2006/main" count="1170" uniqueCount="325">
  <si>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</si>
  <si>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</si>
  <si>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</si>
  <si>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</si>
  <si>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</si>
  <si>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</si>
  <si>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</si>
  <si>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</si>
  <si>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</si>
  <si>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</si>
  <si>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</si>
  <si>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</si>
  <si>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</si>
  <si>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</si>
  <si>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</si>
  <si>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</si>
  <si>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</si>
  <si>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</si>
  <si>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</si>
  <si>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</si>
  <si>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</si>
  <si>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</si>
  <si>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</si>
  <si>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</si>
  <si>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</si>
  <si>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</si>
  <si>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</si>
  <si>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</si>
  <si>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</si>
  <si>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</si>
  <si>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</si>
  <si>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</si>
  <si>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</si>
  <si>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</si>
  <si>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</si>
  <si>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</si>
  <si>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</si>
  <si>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</si>
  <si>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</si>
  <si>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</si>
  <si>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</si>
  <si>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</si>
  <si>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</si>
  <si>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</si>
  <si>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</si>
  <si>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</si>
  <si>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</si>
  <si>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</si>
  <si>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</si>
  <si>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</si>
  <si>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</si>
  <si>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</si>
  <si>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</si>
  <si>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</si>
  <si>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</si>
  <si>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</si>
  <si>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</si>
  <si>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</si>
  <si>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</si>
  <si>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</si>
  <si>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</si>
  <si>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</si>
  <si>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</si>
  <si>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</si>
  <si>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</si>
  <si>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</si>
  <si>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</si>
  <si>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</si>
  <si>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</si>
  <si>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</si>
  <si>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</si>
  <si>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</si>
  <si>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</si>
  <si>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</si>
  <si>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</si>
  <si>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</si>
  <si>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</si>
  <si>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</si>
  <si>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</si>
  <si>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</si>
  <si>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</si>
  <si>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</si>
  <si>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</si>
  <si>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</si>
  <si>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</si>
  <si>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</si>
  <si>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</si>
  <si>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</si>
  <si>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</si>
  <si>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</si>
  <si>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</si>
  <si>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</si>
  <si>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</si>
  <si>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</si>
  <si>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</si>
  <si>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</si>
  <si>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</si>
  <si>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</si>
  <si>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</si>
  <si>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</si>
  <si>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</si>
  <si>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</si>
  <si>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</si>
  <si>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</si>
  <si>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</si>
  <si>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</si>
  <si>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</si>
  <si>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</si>
  <si>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</si>
  <si>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</si>
  <si>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</si>
  <si>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</si>
  <si>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</si>
  <si>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</si>
  <si>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</si>
  <si>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</si>
  <si>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</si>
  <si>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</si>
  <si>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</si>
  <si>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</si>
  <si>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</si>
  <si>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</si>
  <si>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</si>
  <si>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</si>
  <si>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</si>
  <si>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</si>
  <si>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</si>
  <si>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</si>
  <si>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</si>
  <si>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</si>
  <si>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</si>
  <si>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</si>
  <si>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</si>
  <si>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</si>
  <si>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</si>
  <si>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</si>
  <si>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</si>
  <si>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</si>
  <si>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</si>
  <si>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</si>
  <si>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</si>
  <si>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</si>
  <si>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</si>
  <si>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</si>
  <si>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</si>
  <si>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</si>
  <si>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</si>
  <si>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</si>
  <si>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</si>
  <si>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</si>
  <si>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</si>
  <si>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</si>
  <si>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</si>
  <si>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</si>
  <si>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</si>
  <si>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</si>
  <si>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</si>
  <si>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</si>
  <si>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</si>
  <si>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</si>
  <si>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</si>
  <si>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</si>
  <si>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</si>
  <si>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</si>
  <si>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</si>
  <si>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</si>
  <si>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</si>
  <si>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</si>
  <si>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</si>
  <si>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</si>
  <si>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</si>
  <si>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</si>
  <si>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</si>
  <si>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</si>
  <si>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</si>
  <si>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</si>
  <si>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</si>
  <si>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</si>
  <si>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</si>
  <si>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</si>
  <si>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</si>
  <si>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</si>
  <si>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</si>
  <si>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</si>
  <si>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</si>
  <si>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</si>
  <si>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</si>
  <si>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</si>
  <si>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</si>
  <si>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</si>
  <si>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</si>
  <si>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</si>
  <si>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</si>
  <si>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</si>
  <si>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</si>
  <si>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</si>
  <si>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</si>
  <si>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</si>
  <si>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</si>
  <si>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</si>
  <si>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</si>
  <si>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</si>
  <si>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</si>
  <si>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</si>
  <si>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</si>
  <si>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</si>
  <si>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</si>
  <si>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</si>
  <si>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</si>
  <si>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</si>
  <si>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</si>
  <si>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</si>
  <si>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</si>
  <si>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</si>
  <si>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</si>
  <si>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</si>
  <si>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</si>
  <si>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</si>
  <si>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</si>
  <si>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</si>
  <si>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</si>
  <si>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</si>
  <si>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</si>
  <si>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</si>
  <si>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</si>
  <si>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</si>
  <si>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</si>
  <si>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</si>
  <si>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</si>
  <si>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</si>
  <si>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</si>
  <si>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</si>
  <si>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</si>
  <si>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</si>
  <si>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</si>
  <si>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</si>
  <si>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</si>
  <si>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</si>
  <si>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</si>
  <si>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</si>
  <si>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</si>
  <si>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</si>
  <si>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</si>
  <si>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</si>
  <si>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</si>
  <si>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</si>
  <si>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</si>
  <si>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</si>
  <si>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</si>
  <si>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</si>
  <si>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</si>
  <si>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</si>
  <si>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</si>
  <si>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</si>
  <si>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</si>
  <si>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</si>
  <si>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</si>
  <si>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</si>
  <si>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</si>
  <si>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</si>
  <si>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</si>
  <si>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</si>
  <si>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</si>
  <si>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</si>
  <si>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</si>
  <si>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</si>
  <si>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</si>
  <si>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</si>
  <si>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</si>
  <si>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</si>
  <si>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</si>
  <si>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</si>
  <si>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</si>
  <si>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</si>
  <si>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</si>
  <si>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</si>
  <si>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</si>
  <si>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</si>
  <si>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</si>
  <si>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</si>
  <si>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</si>
  <si>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</si>
  <si>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</si>
  <si>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</si>
  <si>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</si>
  <si>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</si>
  <si>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</si>
  <si>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</si>
  <si>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</si>
  <si>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</si>
  <si>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</si>
  <si>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</si>
  <si>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</si>
  <si>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</si>
  <si>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</si>
  <si>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</si>
  <si>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</si>
  <si>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</si>
  <si>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</si>
  <si>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</si>
  <si>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</si>
  <si>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</si>
  <si>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</si>
  <si>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</si>
  <si>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</si>
  <si>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</si>
  <si>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</si>
  <si>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</si>
  <si>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</si>
  <si>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</si>
  <si>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</si>
  <si>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</si>
  <si>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</si>
  <si>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</si>
  <si>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</si>
  <si>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</si>
  <si>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</si>
  <si>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</si>
  <si>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</si>
  <si>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</si>
  <si>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</si>
  <si>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</si>
  <si>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</si>
  <si>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</si>
  <si>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sessile + érable sycomore et plane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</si>
</sst>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2.0346083701005098</c:v>
                </c:pt>
                <c:pt idx="2">
                  <c:v>2.848698915747446</c:v>
                </c:pt>
                <c:pt idx="3">
                  <c:v>3.9899426252887658</c:v>
                </c:pt>
                <c:pt idx="4">
                  <c:v>5.5903466393835552</c:v>
                </c:pt>
                <c:pt idx="5">
                  <c:v>7.83538524504264</c:v>
                </c:pt>
                <c:pt idx="6">
                  <c:v>10.985731517362817</c:v>
                </c:pt>
                <c:pt idx="7">
                  <c:v>15.407850044625512</c:v>
                </c:pt>
                <c:pt idx="8">
                  <c:v>21.617074378266139</c:v>
                </c:pt>
                <c:pt idx="9">
                  <c:v>30.338278605620587</c:v>
                </c:pt>
                <c:pt idx="10">
                  <c:v>42.591348832107379</c:v>
                </c:pt>
                <c:pt idx="11">
                  <c:v>59.811618878677223</c:v>
                </c:pt>
                <c:pt idx="12">
                  <c:v>84.019610427781586</c:v>
                </c:pt>
                <c:pt idx="13">
                  <c:v>118.06031314088193</c:v>
                </c:pt>
                <c:pt idx="14">
                  <c:v>165.9405642069666</c:v>
                </c:pt>
                <c:pt idx="15">
                  <c:v>233.30484175109825</c:v>
                </c:pt>
                <c:pt idx="16">
                  <c:v>267.44578983214518</c:v>
                </c:pt>
                <c:pt idx="17">
                  <c:v>301.48848927400928</c:v>
                </c:pt>
                <c:pt idx="18">
                  <c:v>335.44558817007095</c:v>
                </c:pt>
                <c:pt idx="19">
                  <c:v>369.32696235512088</c:v>
                </c:pt>
                <c:pt idx="20">
                  <c:v>403.14052729824169</c:v>
                </c:pt>
                <c:pt idx="21">
                  <c:v>425.4900641128516</c:v>
                </c:pt>
                <c:pt idx="22">
                  <c:v>460.86531362427507</c:v>
                </c:pt>
                <c:pt idx="23">
                  <c:v>496.18262831321022</c:v>
                </c:pt>
                <c:pt idx="24">
                  <c:v>531.44670479748004</c:v>
                </c:pt>
                <c:pt idx="25">
                  <c:v>566.66156628829015</c:v>
                </c:pt>
                <c:pt idx="26">
                  <c:v>544.68739506155214</c:v>
                </c:pt>
                <c:pt idx="27">
                  <c:v>577.0516950477969</c:v>
                </c:pt>
                <c:pt idx="28">
                  <c:v>609.37813237514945</c:v>
                </c:pt>
                <c:pt idx="29">
                  <c:v>641.66899467097437</c:v>
                </c:pt>
                <c:pt idx="30">
                  <c:v>673.92632089044412</c:v>
                </c:pt>
                <c:pt idx="31">
                  <c:v>623.99579455846367</c:v>
                </c:pt>
                <c:pt idx="32">
                  <c:v>652.97455038641306</c:v>
                </c:pt>
                <c:pt idx="33">
                  <c:v>681.9268108715595</c:v>
                </c:pt>
                <c:pt idx="34">
                  <c:v>710.85385738964942</c:v>
                </c:pt>
                <c:pt idx="35">
                  <c:v>739.75685868452183</c:v>
                </c:pt>
                <c:pt idx="36">
                  <c:v>680.98567721693689</c:v>
                </c:pt>
                <c:pt idx="37">
                  <c:v>706.85726762405102</c:v>
                </c:pt>
                <c:pt idx="38">
                  <c:v>732.70950401316429</c:v>
                </c:pt>
                <c:pt idx="39">
                  <c:v>758.54316435646797</c:v>
                </c:pt>
                <c:pt idx="40">
                  <c:v>784.35896939202519</c:v>
                </c:pt>
                <c:pt idx="41">
                  <c:v>715.55514006165993</c:v>
                </c:pt>
                <c:pt idx="42">
                  <c:v>739.52196895800637</c:v>
                </c:pt>
                <c:pt idx="43">
                  <c:v>763.47299401473254</c:v>
                </c:pt>
                <c:pt idx="44">
                  <c:v>787.40878011653638</c:v>
                </c:pt>
                <c:pt idx="45">
                  <c:v>811.32985505325234</c:v>
                </c:pt>
                <c:pt idx="46">
                  <c:v>737.64279642681765</c:v>
                </c:pt>
                <c:pt idx="47">
                  <c:v>760.18651296112273</c:v>
                </c:pt>
                <c:pt idx="48">
                  <c:v>782.7166642850392</c:v>
                </c:pt>
                <c:pt idx="49">
                  <c:v>805.23369532082245</c:v>
                </c:pt>
                <c:pt idx="50">
                  <c:v>827.73802411254826</c:v>
                </c:pt>
                <c:pt idx="51">
                  <c:v>760.65602788121134</c:v>
                </c:pt>
                <c:pt idx="52">
                  <c:v>781.54354651633878</c:v>
                </c:pt>
                <c:pt idx="53">
                  <c:v>802.41976942349982</c:v>
                </c:pt>
                <c:pt idx="54">
                  <c:v>823.28503149104245</c:v>
                </c:pt>
                <c:pt idx="55">
                  <c:v>844.13964927038353</c:v>
                </c:pt>
                <c:pt idx="56">
                  <c:v>786.47040231283734</c:v>
                </c:pt>
                <c:pt idx="57">
                  <c:v>806.17162648284011</c:v>
                </c:pt>
                <c:pt idx="58">
                  <c:v>825.86313877910959</c:v>
                </c:pt>
                <c:pt idx="59">
                  <c:v>845.5452030971519</c:v>
                </c:pt>
                <c:pt idx="60">
                  <c:v>865.21807006056008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34592"/>
        <c:axId val="-96128608"/>
      </c:scatterChart>
      <c:valAx>
        <c:axId val="-96134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8608"/>
        <c:crosses val="autoZero"/>
        <c:crossBetween val="midCat"/>
      </c:valAx>
      <c:valAx>
        <c:axId val="-9612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4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2073056"/>
        <c:axId val="-232070880"/>
      </c:scatterChart>
      <c:valAx>
        <c:axId val="-2320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70880"/>
        <c:crosses val="autoZero"/>
        <c:crossBetween val="midCat"/>
      </c:valAx>
      <c:valAx>
        <c:axId val="-23207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6976"/>
        <c:axId val="-96133504"/>
      </c:scatterChart>
      <c:valAx>
        <c:axId val="-96126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3504"/>
        <c:crosses val="autoZero"/>
        <c:crossBetween val="midCat"/>
      </c:valAx>
      <c:valAx>
        <c:axId val="-9613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6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1.5980045614422742</c:v>
                </c:pt>
                <c:pt idx="2">
                  <c:v>2.0843083645700404</c:v>
                </c:pt>
                <c:pt idx="3">
                  <c:v>2.7192156105341128</c:v>
                </c:pt>
                <c:pt idx="4">
                  <c:v>3.5483127644733039</c:v>
                </c:pt>
                <c:pt idx="5">
                  <c:v>4.6312214419665088</c:v>
                </c:pt>
                <c:pt idx="6">
                  <c:v>6.0459340907915946</c:v>
                </c:pt>
                <c:pt idx="7">
                  <c:v>7.8944931838800372</c:v>
                </c:pt>
                <c:pt idx="8">
                  <c:v>10.31043142172968</c:v>
                </c:pt>
                <c:pt idx="9">
                  <c:v>13.468520515430084</c:v>
                </c:pt>
                <c:pt idx="10">
                  <c:v>17.597546813573835</c:v>
                </c:pt>
                <c:pt idx="11">
                  <c:v>22.997056058944917</c:v>
                </c:pt>
                <c:pt idx="12">
                  <c:v>30.059303610600974</c:v>
                </c:pt>
                <c:pt idx="13">
                  <c:v>39.298032477367883</c:v>
                </c:pt>
                <c:pt idx="14">
                  <c:v>51.38620829566154</c:v>
                </c:pt>
                <c:pt idx="15">
                  <c:v>67.205505808960694</c:v>
                </c:pt>
                <c:pt idx="16">
                  <c:v>87.911215218076961</c:v>
                </c:pt>
                <c:pt idx="17">
                  <c:v>115.01738434833072</c:v>
                </c:pt>
                <c:pt idx="18">
                  <c:v>150.5085198437738</c:v>
                </c:pt>
                <c:pt idx="19">
                  <c:v>137.25475210550681</c:v>
                </c:pt>
                <c:pt idx="20">
                  <c:v>172.87596436429328</c:v>
                </c:pt>
                <c:pt idx="21">
                  <c:v>208.32386777264207</c:v>
                </c:pt>
                <c:pt idx="22">
                  <c:v>204.95432295191324</c:v>
                </c:pt>
                <c:pt idx="23">
                  <c:v>246.98851191302231</c:v>
                </c:pt>
                <c:pt idx="24">
                  <c:v>288.85990949975201</c:v>
                </c:pt>
                <c:pt idx="25">
                  <c:v>284.59563159222211</c:v>
                </c:pt>
                <c:pt idx="26">
                  <c:v>330.4287481051519</c:v>
                </c:pt>
                <c:pt idx="27">
                  <c:v>376.12147111328591</c:v>
                </c:pt>
                <c:pt idx="28">
                  <c:v>421.69323961894673</c:v>
                </c:pt>
                <c:pt idx="29">
                  <c:v>387.33822121677053</c:v>
                </c:pt>
                <c:pt idx="30">
                  <c:v>432.63408155595886</c:v>
                </c:pt>
                <c:pt idx="31">
                  <c:v>477.82807613542383</c:v>
                </c:pt>
                <c:pt idx="32">
                  <c:v>522.93117688121504</c:v>
                </c:pt>
                <c:pt idx="33">
                  <c:v>509.06241049820727</c:v>
                </c:pt>
                <c:pt idx="34">
                  <c:v>550.64568947389932</c:v>
                </c:pt>
                <c:pt idx="35">
                  <c:v>592.16315090012722</c:v>
                </c:pt>
                <c:pt idx="36">
                  <c:v>633.62004858200532</c:v>
                </c:pt>
                <c:pt idx="37">
                  <c:v>592.16315090012722</c:v>
                </c:pt>
                <c:pt idx="38">
                  <c:v>627.70116457558152</c:v>
                </c:pt>
                <c:pt idx="39">
                  <c:v>663.19756235900854</c:v>
                </c:pt>
                <c:pt idx="40">
                  <c:v>698.65488065528405</c:v>
                </c:pt>
                <c:pt idx="41">
                  <c:v>734.07537786366504</c:v>
                </c:pt>
                <c:pt idx="42">
                  <c:v>769.46107705348243</c:v>
                </c:pt>
                <c:pt idx="43">
                  <c:v>720.69849545736179</c:v>
                </c:pt>
                <c:pt idx="44">
                  <c:v>749.60994093627244</c:v>
                </c:pt>
                <c:pt idx="45">
                  <c:v>778.4987302179652</c:v>
                </c:pt>
                <c:pt idx="46">
                  <c:v>807.365820924525</c:v>
                </c:pt>
                <c:pt idx="47">
                  <c:v>836.21209672927228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32960"/>
        <c:axId val="-96131872"/>
      </c:scatterChart>
      <c:valAx>
        <c:axId val="-96132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1872"/>
        <c:crosses val="autoZero"/>
        <c:crossBetween val="midCat"/>
      </c:valAx>
      <c:valAx>
        <c:axId val="-961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2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30784"/>
        <c:axId val="-96122080"/>
      </c:scatterChart>
      <c:valAx>
        <c:axId val="-96130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2080"/>
        <c:crosses val="autoZero"/>
        <c:crossBetween val="midCat"/>
      </c:valAx>
      <c:valAx>
        <c:axId val="-9612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0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5888"/>
        <c:axId val="-96130240"/>
      </c:scatterChart>
      <c:valAx>
        <c:axId val="-96125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0240"/>
        <c:crosses val="autoZero"/>
        <c:crossBetween val="midCat"/>
      </c:valAx>
      <c:valAx>
        <c:axId val="-9613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5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4800"/>
        <c:axId val="-96124256"/>
      </c:scatterChart>
      <c:valAx>
        <c:axId val="-9612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4256"/>
        <c:crosses val="autoZero"/>
        <c:crossBetween val="midCat"/>
      </c:valAx>
      <c:valAx>
        <c:axId val="-9612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3712"/>
        <c:axId val="-96123168"/>
      </c:scatterChart>
      <c:valAx>
        <c:axId val="-961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3168"/>
        <c:crosses val="autoZero"/>
        <c:crossBetween val="midCat"/>
      </c:valAx>
      <c:valAx>
        <c:axId val="-961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2624"/>
        <c:axId val="-96137312"/>
      </c:scatterChart>
      <c:valAx>
        <c:axId val="-961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7312"/>
        <c:crosses val="autoZero"/>
        <c:crossBetween val="midCat"/>
      </c:valAx>
      <c:valAx>
        <c:axId val="-9613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2084480"/>
        <c:axId val="-232080672"/>
      </c:scatterChart>
      <c:valAx>
        <c:axId val="-232084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80672"/>
        <c:crosses val="autoZero"/>
        <c:crossBetween val="midCat"/>
      </c:valAx>
      <c:valAx>
        <c:axId val="-2320806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84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23" sqref="F23"/>
    </sheetView>
  </sheetViews>
  <sheetFormatPr baseColWidth="10" defaultColWidth="11.44140625" defaultRowHeight="14.4" x14ac:dyDescent="0.3"/>
  <cols>
    <col min="1" max="1" width="13.77734375" style="23" customWidth="1"/>
    <col min="2" max="2" width="36.21875" style="23" customWidth="1"/>
    <col min="3" max="3" width="14.77734375" style="23" bestFit="1" customWidth="1"/>
    <col min="4" max="4" width="16.44140625" style="23" customWidth="1"/>
    <col min="5" max="5" width="23.21875" style="23" customWidth="1"/>
    <col min="6" max="6" width="28.77734375" style="23" bestFit="1" customWidth="1"/>
    <col min="7" max="8" width="14.7773437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5.0999999999999996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0.76</v>
      </c>
      <c r="D9" s="33">
        <f t="shared" ref="D9:D18" si="0">C9*$C$5</f>
        <v>3.8759999999999999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81</v>
      </c>
      <c r="C10" s="32">
        <v>0.15</v>
      </c>
      <c r="D10" s="33">
        <f t="shared" si="0"/>
        <v>0.7649999999999999</v>
      </c>
      <c r="E10" s="34">
        <v>42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20</v>
      </c>
      <c r="C11" s="32">
        <v>0.09</v>
      </c>
      <c r="D11" s="33">
        <f t="shared" si="0"/>
        <v>0.45899999999999996</v>
      </c>
      <c r="E11" s="34">
        <v>47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5.0999999999999996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15</v>
      </c>
      <c r="B36" s="60">
        <v>189</v>
      </c>
      <c r="C36" s="60">
        <v>1</v>
      </c>
      <c r="D36" s="60">
        <v>0</v>
      </c>
      <c r="E36" s="51"/>
      <c r="F36" s="51"/>
      <c r="G36" s="51"/>
      <c r="H36" s="51">
        <v>1</v>
      </c>
      <c r="I36" s="49">
        <f>IFERROR(B36/A36,"")</f>
        <v>12.6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331</v>
      </c>
      <c r="C37" s="60">
        <v>2</v>
      </c>
      <c r="D37" s="60">
        <v>11</v>
      </c>
      <c r="E37" s="51">
        <v>0.1</v>
      </c>
      <c r="F37" s="51">
        <v>0.4</v>
      </c>
      <c r="G37" s="51"/>
      <c r="H37" s="51">
        <v>0.5</v>
      </c>
      <c r="I37" s="53">
        <f t="shared" ref="I37:I55" si="1">IF(A37&lt;&gt;0,(B37-(B36-D36))/(A37-A36),"")</f>
        <v>28.4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25</v>
      </c>
      <c r="B38" s="60">
        <v>469</v>
      </c>
      <c r="C38" s="60">
        <v>3</v>
      </c>
      <c r="D38" s="60">
        <v>46</v>
      </c>
      <c r="E38" s="51">
        <v>0.1</v>
      </c>
      <c r="F38" s="51">
        <v>0.5</v>
      </c>
      <c r="G38" s="51"/>
      <c r="H38" s="51">
        <v>0.4</v>
      </c>
      <c r="I38" s="53">
        <f t="shared" si="1"/>
        <v>29.8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30</v>
      </c>
      <c r="B39" s="60">
        <v>560</v>
      </c>
      <c r="C39" s="60">
        <v>4</v>
      </c>
      <c r="D39" s="60">
        <v>67</v>
      </c>
      <c r="E39" s="51">
        <v>0.2</v>
      </c>
      <c r="F39" s="51">
        <v>0.4</v>
      </c>
      <c r="G39" s="51"/>
      <c r="H39" s="51">
        <v>0.4</v>
      </c>
      <c r="I39" s="49">
        <f t="shared" si="1"/>
        <v>27.4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35</v>
      </c>
      <c r="B40" s="60">
        <v>616</v>
      </c>
      <c r="C40" s="60">
        <v>5</v>
      </c>
      <c r="D40" s="60">
        <v>72</v>
      </c>
      <c r="E40" s="51"/>
      <c r="F40" s="51"/>
      <c r="G40" s="51"/>
      <c r="H40" s="51"/>
      <c r="I40" s="49">
        <f t="shared" si="1"/>
        <v>24.6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v>654</v>
      </c>
      <c r="C41" s="60">
        <v>6</v>
      </c>
      <c r="D41" s="60">
        <v>79</v>
      </c>
      <c r="E41" s="51"/>
      <c r="F41" s="51"/>
      <c r="G41" s="51"/>
      <c r="H41" s="51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45</v>
      </c>
      <c r="B42" s="60">
        <v>677</v>
      </c>
      <c r="C42" s="60">
        <v>7</v>
      </c>
      <c r="D42" s="60">
        <v>82</v>
      </c>
      <c r="E42" s="51"/>
      <c r="F42" s="51"/>
      <c r="G42" s="51"/>
      <c r="H42" s="51"/>
      <c r="I42" s="53">
        <f t="shared" si="1"/>
        <v>20.399999999999999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50</v>
      </c>
      <c r="B43" s="60">
        <v>691</v>
      </c>
      <c r="C43" s="60">
        <v>8</v>
      </c>
      <c r="D43" s="60">
        <v>75</v>
      </c>
      <c r="E43" s="51"/>
      <c r="F43" s="51"/>
      <c r="G43" s="51"/>
      <c r="H43" s="51"/>
      <c r="I43" s="49">
        <f t="shared" si="1"/>
        <v>19.2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55</v>
      </c>
      <c r="B44" s="60">
        <v>705</v>
      </c>
      <c r="C44" s="60">
        <v>9</v>
      </c>
      <c r="D44" s="60">
        <v>66</v>
      </c>
      <c r="E44" s="51"/>
      <c r="F44" s="51"/>
      <c r="G44" s="51"/>
      <c r="H44" s="51"/>
      <c r="I44" s="49">
        <f t="shared" si="1"/>
        <v>17.8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60</v>
      </c>
      <c r="B45" s="60">
        <v>723</v>
      </c>
      <c r="C45" s="60">
        <v>10</v>
      </c>
      <c r="D45" s="60">
        <v>723</v>
      </c>
      <c r="E45" s="51"/>
      <c r="F45" s="51"/>
      <c r="G45" s="51"/>
      <c r="H45" s="51"/>
      <c r="I45" s="49">
        <f t="shared" si="1"/>
        <v>16.8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hybride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12</v>
      </c>
      <c r="B62" s="60">
        <v>116</v>
      </c>
      <c r="C62" s="60">
        <v>1</v>
      </c>
      <c r="D62" s="60">
        <v>21</v>
      </c>
      <c r="E62" s="51"/>
      <c r="F62" s="51">
        <v>0.2</v>
      </c>
      <c r="G62" s="51">
        <v>0.8</v>
      </c>
      <c r="H62" s="51"/>
      <c r="I62" s="53">
        <f>IFERROR(B62/A62,"")</f>
        <v>9.6666666666666661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168</v>
      </c>
      <c r="C63" s="60">
        <v>2</v>
      </c>
      <c r="D63" s="60">
        <v>47</v>
      </c>
      <c r="E63" s="51"/>
      <c r="F63" s="51">
        <v>0.2</v>
      </c>
      <c r="G63" s="51">
        <v>0.8</v>
      </c>
      <c r="H63" s="51"/>
      <c r="I63" s="49">
        <f>IF(A63&lt;&gt;0,(B63-(B62-D62))/(A63-A62),"")</f>
        <v>24.333333333333332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18</v>
      </c>
      <c r="B64" s="60">
        <v>185</v>
      </c>
      <c r="C64" s="60">
        <v>3</v>
      </c>
      <c r="D64" s="60">
        <v>61</v>
      </c>
      <c r="E64" s="51"/>
      <c r="F64" s="51">
        <v>0.4</v>
      </c>
      <c r="G64" s="51">
        <v>0.6</v>
      </c>
      <c r="H64" s="51"/>
      <c r="I64" s="49">
        <f>IF(A64&lt;&gt;0,(B64-(B63-D63))/(A64-A63),"")</f>
        <v>21.333333333333332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24</v>
      </c>
      <c r="B65" s="60">
        <v>239</v>
      </c>
      <c r="C65" s="60">
        <v>4</v>
      </c>
      <c r="D65" s="60">
        <v>84</v>
      </c>
      <c r="E65" s="51">
        <v>0.2</v>
      </c>
      <c r="F65" s="51">
        <v>0.6</v>
      </c>
      <c r="G65" s="51">
        <v>0.2</v>
      </c>
      <c r="H65" s="51"/>
      <c r="I65" s="49">
        <f>IF(A65&lt;&gt;0,(B65-(B64-D64))/(A65-A64),"")</f>
        <v>19.166666666666668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255</v>
      </c>
      <c r="C66" s="60">
        <v>5</v>
      </c>
      <c r="D66" s="60">
        <v>76</v>
      </c>
      <c r="E66" s="51">
        <v>0.4</v>
      </c>
      <c r="F66" s="51">
        <v>0.4</v>
      </c>
      <c r="G66" s="51">
        <v>0.2</v>
      </c>
      <c r="H66" s="51"/>
      <c r="I66" s="49">
        <f t="shared" ref="I66:I81" si="2">IF(A66&lt;&gt;0,(B66-(B65-D65))/(A66-A65),"")</f>
        <v>16.666666666666668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36</v>
      </c>
      <c r="B67" s="60">
        <v>269</v>
      </c>
      <c r="C67" s="60">
        <v>6</v>
      </c>
      <c r="D67" s="60">
        <v>75</v>
      </c>
      <c r="E67" s="51"/>
      <c r="F67" s="51"/>
      <c r="G67" s="51"/>
      <c r="H67" s="51"/>
      <c r="I67" s="49">
        <f t="shared" si="2"/>
        <v>15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42</v>
      </c>
      <c r="B68" s="60">
        <v>278</v>
      </c>
      <c r="C68" s="60">
        <v>7</v>
      </c>
      <c r="D68" s="60">
        <v>278</v>
      </c>
      <c r="E68" s="51"/>
      <c r="F68" s="51"/>
      <c r="G68" s="51"/>
      <c r="H68" s="51"/>
      <c r="I68" s="49">
        <f t="shared" si="2"/>
        <v>14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Epicéa de Sitka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18</v>
      </c>
      <c r="B88" s="60">
        <v>144</v>
      </c>
      <c r="C88" s="60">
        <v>1</v>
      </c>
      <c r="D88" s="60">
        <v>48</v>
      </c>
      <c r="E88" s="51"/>
      <c r="F88" s="51"/>
      <c r="G88" s="51"/>
      <c r="H88" s="87">
        <v>1</v>
      </c>
      <c r="I88" s="53">
        <f>IFERROR(B88/A88,"")</f>
        <v>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21</v>
      </c>
      <c r="B89" s="60">
        <v>201</v>
      </c>
      <c r="C89" s="60">
        <v>2</v>
      </c>
      <c r="D89" s="60">
        <v>45</v>
      </c>
      <c r="E89" s="51">
        <v>0.2</v>
      </c>
      <c r="F89" s="51">
        <v>0.2</v>
      </c>
      <c r="G89" s="51">
        <v>0.6</v>
      </c>
      <c r="H89" s="87"/>
      <c r="I89" s="53">
        <f t="shared" ref="I89:I107" si="3">IF(A89&lt;&gt;0,(B89-(B88-D88))/(A89-A88),"")</f>
        <v>35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24</v>
      </c>
      <c r="B90" s="60">
        <v>281</v>
      </c>
      <c r="C90" s="60">
        <v>3</v>
      </c>
      <c r="D90" s="60">
        <v>50</v>
      </c>
      <c r="E90" s="87">
        <v>0.2</v>
      </c>
      <c r="F90" s="87">
        <v>0.4</v>
      </c>
      <c r="G90" s="87">
        <v>0.2</v>
      </c>
      <c r="H90" s="87"/>
      <c r="I90" s="53">
        <f t="shared" si="3"/>
        <v>41.666666666666664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28</v>
      </c>
      <c r="B91" s="60">
        <v>414</v>
      </c>
      <c r="C91" s="60">
        <v>4</v>
      </c>
      <c r="D91" s="60">
        <v>80</v>
      </c>
      <c r="E91" s="87">
        <v>0.3</v>
      </c>
      <c r="F91" s="87">
        <v>0.4</v>
      </c>
      <c r="G91" s="87">
        <v>0.3</v>
      </c>
      <c r="H91" s="87"/>
      <c r="I91" s="53">
        <f t="shared" si="3"/>
        <v>45.75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32</v>
      </c>
      <c r="B92" s="60">
        <v>516</v>
      </c>
      <c r="C92" s="60">
        <v>5</v>
      </c>
      <c r="D92" s="60">
        <v>56</v>
      </c>
      <c r="E92" s="87"/>
      <c r="F92" s="87"/>
      <c r="G92" s="87"/>
      <c r="H92" s="87"/>
      <c r="I92" s="53">
        <f t="shared" si="3"/>
        <v>45.5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36</v>
      </c>
      <c r="B93" s="60">
        <v>628</v>
      </c>
      <c r="C93" s="60">
        <v>6</v>
      </c>
      <c r="D93" s="60">
        <v>78</v>
      </c>
      <c r="E93" s="87"/>
      <c r="F93" s="87"/>
      <c r="G93" s="87"/>
      <c r="H93" s="87"/>
      <c r="I93" s="53">
        <f t="shared" si="3"/>
        <v>42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42</v>
      </c>
      <c r="B94" s="60">
        <v>766</v>
      </c>
      <c r="C94" s="60">
        <v>7</v>
      </c>
      <c r="D94" s="60">
        <v>79</v>
      </c>
      <c r="E94" s="87"/>
      <c r="F94" s="87"/>
      <c r="G94" s="87"/>
      <c r="H94" s="87"/>
      <c r="I94" s="53">
        <f t="shared" si="3"/>
        <v>36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47</v>
      </c>
      <c r="B95" s="60">
        <v>834</v>
      </c>
      <c r="C95" s="60">
        <v>8</v>
      </c>
      <c r="D95" s="60">
        <v>834</v>
      </c>
      <c r="E95" s="87"/>
      <c r="F95" s="87"/>
      <c r="G95" s="87"/>
      <c r="H95" s="87"/>
      <c r="I95" s="53">
        <f t="shared" si="3"/>
        <v>29.4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51"/>
      <c r="F218" s="51"/>
      <c r="G218" s="51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51"/>
      <c r="F219" s="51"/>
      <c r="G219" s="51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51"/>
      <c r="F245" s="51"/>
      <c r="G245" s="51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51"/>
      <c r="F246" s="51"/>
      <c r="G246" s="51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5546875" style="4" customWidth="1"/>
    <col min="6" max="7" width="11.44140625" style="4"/>
    <col min="8" max="8" width="10.7773437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77734375" style="4" bestFit="1" customWidth="1"/>
    <col min="25" max="25" width="14.5546875" style="4" bestFit="1" customWidth="1"/>
    <col min="26" max="26" width="12.44140625" style="4" bestFit="1" customWidth="1"/>
    <col min="27" max="27" width="9.7773437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21875" style="4" bestFit="1" customWidth="1"/>
    <col min="45" max="45" width="11.77734375" style="4" bestFit="1" customWidth="1"/>
    <col min="46" max="46" width="8.44140625" style="4" bestFit="1" customWidth="1"/>
    <col min="47" max="47" width="9.44140625" style="4" bestFit="1" customWidth="1"/>
    <col min="48" max="48" width="9.7773437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2187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21875" style="4" bestFit="1" customWidth="1"/>
    <col min="66" max="66" width="11.77734375" style="4" bestFit="1" customWidth="1"/>
    <col min="67" max="67" width="8.44140625" style="4" bestFit="1" customWidth="1"/>
    <col min="68" max="68" width="9.44140625" style="4" bestFit="1" customWidth="1"/>
    <col min="69" max="69" width="9.7773437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777343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21875" style="4" bestFit="1" customWidth="1"/>
    <col min="87" max="87" width="11.77734375" style="4" bestFit="1" customWidth="1"/>
    <col min="88" max="88" width="8.44140625" style="4" bestFit="1" customWidth="1"/>
    <col min="89" max="89" width="9.44140625" style="4" bestFit="1" customWidth="1"/>
    <col min="90" max="90" width="9.7773437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21875" style="4" bestFit="1" customWidth="1"/>
    <col min="108" max="108" width="11.77734375" style="4" bestFit="1" customWidth="1"/>
    <col min="109" max="109" width="8.44140625" style="4" bestFit="1" customWidth="1"/>
    <col min="110" max="110" width="9.44140625" style="4" bestFit="1" customWidth="1"/>
    <col min="111" max="111" width="9.7773437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2187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21875" style="4" bestFit="1" customWidth="1"/>
    <col min="129" max="129" width="11.77734375" style="4" bestFit="1" customWidth="1"/>
    <col min="130" max="130" width="8.44140625" style="4" bestFit="1" customWidth="1"/>
    <col min="131" max="131" width="9.44140625" style="4" bestFit="1" customWidth="1"/>
    <col min="132" max="132" width="9.7773437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21875" style="4" bestFit="1" customWidth="1"/>
    <col min="150" max="150" width="11.77734375" style="4" bestFit="1" customWidth="1"/>
    <col min="151" max="151" width="8.44140625" style="4" bestFit="1" customWidth="1"/>
    <col min="152" max="152" width="9.44140625" style="4" bestFit="1" customWidth="1"/>
    <col min="153" max="153" width="9.7773437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21875" style="4" bestFit="1" customWidth="1"/>
    <col min="171" max="171" width="11.77734375" style="4" bestFit="1" customWidth="1"/>
    <col min="172" max="172" width="8.21875" style="4" bestFit="1" customWidth="1"/>
    <col min="173" max="173" width="9.44140625" style="4" bestFit="1" customWidth="1"/>
    <col min="174" max="174" width="9.7773437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2187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7773437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2187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21875" style="4" bestFit="1" customWidth="1"/>
    <col min="213" max="213" width="11.77734375" style="4" bestFit="1" customWidth="1"/>
    <col min="214" max="214" width="8.44140625" style="4" bestFit="1" customWidth="1"/>
    <col min="215" max="215" width="9.44140625" style="4" bestFit="1" customWidth="1"/>
    <col min="216" max="216" width="9.7773437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hybride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Epicéa de Sitka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534.78683721545372</v>
      </c>
      <c r="T3" s="59">
        <f>IF('Données projet'!E9&gt;30,$R$33-$H$33,LOOKUP('Données projet'!$E$9,$A$3:$A$203,R3:R203)-LOOKUP('Données projet'!$E$9,$A$3:$A$203,$H$3:$H$203))</f>
        <v>710.59298755711075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207.02306964567629</v>
      </c>
      <c r="AO3" s="59">
        <f>IF('Données projet'!E10&gt;30,$AM$33-$H$33,LOOKUP('Données projet'!$E$10,$A$3:$A$203,AM3:AM203)-LOOKUP('Données projet'!$E$10,$A$3:$A$203,$H$3:$H$203))</f>
        <v>342.06887933351783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345.45636360520137</v>
      </c>
      <c r="BJ3" s="59">
        <f>IF('Données projet'!E11&gt;30,$BH$33-$H$33,LOOKUP('Données projet'!$E$11,$A$3:$A$203,BH3:BH203)-LOOKUP('Données projet'!$E$11,$A$3:$A$203,$H$3:$H$203))</f>
        <v>469.30074822262549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12.6</v>
      </c>
      <c r="N4" s="13">
        <f>IF('Données projet'!$A$36&gt;35,N3+M4-V3,IF(A4&lt;'Données projet'!$A$36,$K$205^A4,IF(A4='Données projet'!$A$36,'Données projet'!$B$36,N3+M4-V3)))</f>
        <v>1.418286993802653</v>
      </c>
      <c r="O4" s="13">
        <f>N4*VLOOKUP('Données projet'!$B$9,Paramètres!$A$1:$I$89,3,0)*VLOOKUP('Données projet'!$B$9,Paramètres!$A$1:$I$89,5,0)</f>
        <v>0.79282242953568305</v>
      </c>
      <c r="P4" s="13">
        <f>EXP(-1.0587+0.8836*LN(O4)+0.284)</f>
        <v>0.37537376382346138</v>
      </c>
      <c r="Q4" s="20">
        <f t="shared" ref="Q4:Q34" si="2">(O4+P4)*0.475*44/12</f>
        <v>2.0346083701005098</v>
      </c>
      <c r="R4" s="59">
        <f t="shared" si="0"/>
        <v>259.92349725898936</v>
      </c>
      <c r="S4" s="59">
        <f ca="1">AVERAGE(OFFSET($R$3,0,0,'Données projet'!$E$9+1,1))-AVERAGE(OFFSET($H$3,0,0,'Données projet'!$E$9+1,1))</f>
        <v>534.78683721545372</v>
      </c>
      <c r="T4" s="59">
        <f>$T$3</f>
        <v>710.59298755711075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9.6666666666666661</v>
      </c>
      <c r="AI4" s="13">
        <f>IF('Données projet'!$A$62&gt;35,AI3+AH4-AQ3,IF(A4&lt;'Données projet'!$A$62,$AF$205^A4,IF(A4='Données projet'!$A$62,'Données projet'!$B$62,AI3+AH4-AQ3)))</f>
        <v>1.4860662319460807</v>
      </c>
      <c r="AJ4" s="13">
        <f>AI4*VLOOKUP('Données projet'!$B$10,Paramètres!$A$1:$I$89,3,0)*VLOOKUP('Données projet'!$B$10,Paramètres!$A$1:$I$89,5,0)</f>
        <v>0.81139216264255998</v>
      </c>
      <c r="AK4" s="13">
        <f>EXP(-1.0587+0.8836*LN(AJ4)+0.284)</f>
        <v>0.38313198283208655</v>
      </c>
      <c r="AL4" s="20">
        <f t="shared" ref="AL4:AL67" si="4">(AJ4+AK4)*0.475*44/12</f>
        <v>2.0804628867016759</v>
      </c>
      <c r="AM4" s="59">
        <f t="shared" ref="AM4:AM67" si="5">AL4+(AD4+AE4)*44/12</f>
        <v>259.96935177559055</v>
      </c>
      <c r="AN4" s="59">
        <f ca="1">AVERAGE(OFFSET($AM$3,0,0,'Données projet'!$E$10+1,1))-AVERAGE(OFFSET($H$3,0,0,'Données projet'!$E$10+1,1))</f>
        <v>207.02306964567629</v>
      </c>
      <c r="AO4" s="59">
        <f>$AO$3</f>
        <v>342.06887933351783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</v>
      </c>
      <c r="BD4" s="12">
        <f>IF('Données projet'!$A$88&gt;35,BD3+BC4-BL3,IF(A4&lt;'Données projet'!$A$88,$BA$205^A4,IF(A4='Données projet'!$A$88,'Données projet'!$B$88,BD3+BC4-BL3)))</f>
        <v>1.3179806292130023</v>
      </c>
      <c r="BE4" s="13">
        <f>BD4*VLOOKUP('Données projet'!$B$11,Paramètres!$A$1:$I$89,3,0)*VLOOKUP('Données projet'!$B$11,Paramètres!$A$1:$I$89,5,0)</f>
        <v>0.61681493447168512</v>
      </c>
      <c r="BF4" s="13">
        <f>EXP(-1.0587+0.8836*LN(BE4)+0.284)</f>
        <v>0.30069964626072099</v>
      </c>
      <c r="BG4" s="20">
        <f t="shared" ref="BG4:BG67" si="7">(BE4+BF4)*0.475*44/12</f>
        <v>1.5980045614422742</v>
      </c>
      <c r="BH4" s="59">
        <f t="shared" ref="BH4:BH67" si="8">BG4+(AY4+AZ4)*44/12</f>
        <v>259.48689345033114</v>
      </c>
      <c r="BI4" s="59">
        <f ca="1">AVERAGE(OFFSET($BH$3,0,0,'Données projet'!$E$11+1,1))-AVERAGE(OFFSET($H$3,0,0,'Données projet'!$E$11+1,1))</f>
        <v>345.45636360520137</v>
      </c>
      <c r="BJ4" s="59">
        <f>$BJ$3</f>
        <v>469.30074822262549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12.6</v>
      </c>
      <c r="N5" s="13">
        <f>IF('Données projet'!$A$36&gt;35,N4+M5-V4,IF(A5&lt;'Données projet'!$A$36,$K$205^A5,IF(A5='Données projet'!$A$36,'Données projet'!$B$36,N4+M5-V4)))</f>
        <v>2.0115379967897669</v>
      </c>
      <c r="O5" s="13">
        <f>N5*VLOOKUP('Données projet'!$B$9,Paramètres!$A$1:$I$89,3,0)*VLOOKUP('Données projet'!$B$9,Paramètres!$A$1:$I$89,5,0)</f>
        <v>1.1244497402054798</v>
      </c>
      <c r="P5" s="13">
        <f t="shared" ref="P5:P68" si="33">EXP(-1.0587+0.8836*LN(O5)+0.284)</f>
        <v>0.51116686213755136</v>
      </c>
      <c r="Q5" s="20">
        <f t="shared" si="2"/>
        <v>2.848698915747446</v>
      </c>
      <c r="R5" s="59">
        <f t="shared" si="0"/>
        <v>261.95981002685858</v>
      </c>
      <c r="S5" s="59">
        <f ca="1">AVERAGE(OFFSET($R$3,0,0,'Données projet'!$E$9+1,1))-AVERAGE(OFFSET($H$3,0,0,'Données projet'!$E$9+1,1))</f>
        <v>534.78683721545372</v>
      </c>
      <c r="T5" s="59">
        <f t="shared" ref="T5:T68" si="34">$T$3</f>
        <v>710.59298755711075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9.6666666666666661</v>
      </c>
      <c r="AI5" s="13">
        <f>IF('Données projet'!$A$62&gt;35,AI4+AH5-AQ4,IF(A5&lt;'Données projet'!$A$62,$AF$205^A5,IF(A5='Données projet'!$A$62,'Données projet'!$B$62,AI4+AH5-AQ4)))</f>
        <v>2.2083928457304225</v>
      </c>
      <c r="AJ5" s="13">
        <f>AI5*VLOOKUP('Données projet'!$B$10,Paramètres!$A$1:$I$89,3,0)*VLOOKUP('Données projet'!$B$10,Paramètres!$A$1:$I$89,5,0)</f>
        <v>1.2057824937688106</v>
      </c>
      <c r="AK5" s="13">
        <f t="shared" ref="AK5:AK68" si="35">EXP(-1.0587+0.8836*LN(AJ5)+0.284)</f>
        <v>0.54370250071771287</v>
      </c>
      <c r="AL5" s="20">
        <f t="shared" si="4"/>
        <v>3.0470196987306952</v>
      </c>
      <c r="AM5" s="59">
        <f t="shared" si="5"/>
        <v>262.15813080984185</v>
      </c>
      <c r="AN5" s="59">
        <f ca="1">AVERAGE(OFFSET($AM$3,0,0,'Données projet'!$E$10+1,1))-AVERAGE(OFFSET($H$3,0,0,'Données projet'!$E$10+1,1))</f>
        <v>207.02306964567629</v>
      </c>
      <c r="AO5" s="59">
        <f t="shared" ref="AO5:AO68" si="36">$AO$3</f>
        <v>342.06887933351783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</v>
      </c>
      <c r="BD5" s="12">
        <f>IF('Données projet'!$A$88&gt;35,BD4+BC5-BL4,IF(A5&lt;'Données projet'!$A$88,$BA$205^A5,IF(A5='Données projet'!$A$88,'Données projet'!$B$88,BD4+BC5-BL4)))</f>
        <v>1.7370729389807014</v>
      </c>
      <c r="BE5" s="13">
        <f>BD5*VLOOKUP('Données projet'!$B$11,Paramètres!$A$1:$I$89,3,0)*VLOOKUP('Données projet'!$B$11,Paramètres!$A$1:$I$89,5,0)</f>
        <v>0.81295013544296824</v>
      </c>
      <c r="BF5" s="13">
        <f t="shared" ref="BF5:BF68" si="37">EXP(-1.0587+0.8836*LN(BE5)+0.284)</f>
        <v>0.38378193990825132</v>
      </c>
      <c r="BG5" s="20">
        <f t="shared" si="7"/>
        <v>2.0843083645700404</v>
      </c>
      <c r="BH5" s="59">
        <f t="shared" si="8"/>
        <v>261.19541947568121</v>
      </c>
      <c r="BI5" s="59">
        <f ca="1">AVERAGE(OFFSET($BH$3,0,0,'Données projet'!$E$11+1,1))-AVERAGE(OFFSET($H$3,0,0,'Données projet'!$E$11+1,1))</f>
        <v>345.45636360520137</v>
      </c>
      <c r="BJ5" s="59">
        <f t="shared" ref="BJ5:BJ68" si="38">$BJ$3</f>
        <v>469.30074822262549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12.6</v>
      </c>
      <c r="N6" s="13">
        <f>IF('Données projet'!$A$36&gt;35,N5+M6-V5,IF(A6&lt;'Données projet'!$A$36,$K$205^A6,IF(A6='Données projet'!$A$36,'Données projet'!$B$36,N5+M6-V5)))</f>
        <v>2.8529381783867689</v>
      </c>
      <c r="O6" s="13">
        <f>N6*VLOOKUP('Données projet'!$B$9,Paramètres!$A$1:$I$89,3,0)*VLOOKUP('Données projet'!$B$9,Paramètres!$A$1:$I$89,5,0)</f>
        <v>1.5947924417182038</v>
      </c>
      <c r="P6" s="13">
        <f t="shared" si="33"/>
        <v>0.69608370677295384</v>
      </c>
      <c r="Q6" s="20">
        <f t="shared" si="2"/>
        <v>3.9899426252887658</v>
      </c>
      <c r="R6" s="59">
        <f t="shared" si="0"/>
        <v>264.32327595862211</v>
      </c>
      <c r="S6" s="59">
        <f ca="1">AVERAGE(OFFSET($R$3,0,0,'Données projet'!$E$9+1,1))-AVERAGE(OFFSET($H$3,0,0,'Données projet'!$E$9+1,1))</f>
        <v>534.78683721545372</v>
      </c>
      <c r="T6" s="59">
        <f t="shared" si="34"/>
        <v>710.59298755711075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9.6666666666666661</v>
      </c>
      <c r="AI6" s="13">
        <f>IF('Données projet'!$A$62&gt;35,AI5+AH6-AQ5,IF(A6&lt;'Données projet'!$A$62,$AF$205^A6,IF(A6='Données projet'!$A$62,'Données projet'!$B$62,AI5+AH6-AQ5)))</f>
        <v>3.2818180349112911</v>
      </c>
      <c r="AJ6" s="13">
        <f>AI6*VLOOKUP('Données projet'!$B$10,Paramètres!$A$1:$I$89,3,0)*VLOOKUP('Données projet'!$B$10,Paramètres!$A$1:$I$89,5,0)</f>
        <v>1.7918726470615651</v>
      </c>
      <c r="AK6" s="13">
        <f t="shared" si="35"/>
        <v>0.77156808236563035</v>
      </c>
      <c r="AL6" s="20">
        <f t="shared" si="4"/>
        <v>4.4646592704190313</v>
      </c>
      <c r="AM6" s="59">
        <f t="shared" si="5"/>
        <v>264.79799260375233</v>
      </c>
      <c r="AN6" s="59">
        <f ca="1">AVERAGE(OFFSET($AM$3,0,0,'Données projet'!$E$10+1,1))-AVERAGE(OFFSET($H$3,0,0,'Données projet'!$E$10+1,1))</f>
        <v>207.02306964567629</v>
      </c>
      <c r="AO6" s="59">
        <f t="shared" si="36"/>
        <v>342.06887933351783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</v>
      </c>
      <c r="BD6" s="12">
        <f>IF('Données projet'!$A$88&gt;35,BD5+BC6-BL5,IF(A6&lt;'Données projet'!$A$88,$BA$205^A6,IF(A6='Données projet'!$A$88,'Données projet'!$B$88,BD5+BC6-BL5)))</f>
        <v>2.2894284851066637</v>
      </c>
      <c r="BE6" s="13">
        <f>BD6*VLOOKUP('Données projet'!$B$11,Paramètres!$A$1:$I$89,3,0)*VLOOKUP('Données projet'!$B$11,Paramètres!$A$1:$I$89,5,0)</f>
        <v>1.0714525310299186</v>
      </c>
      <c r="BF6" s="13">
        <f t="shared" si="37"/>
        <v>0.48981958985091184</v>
      </c>
      <c r="BG6" s="20">
        <f t="shared" si="7"/>
        <v>2.7192156105341128</v>
      </c>
      <c r="BH6" s="59">
        <f t="shared" si="8"/>
        <v>263.05254894386741</v>
      </c>
      <c r="BI6" s="59">
        <f ca="1">AVERAGE(OFFSET($BH$3,0,0,'Données projet'!$E$11+1,1))-AVERAGE(OFFSET($H$3,0,0,'Données projet'!$E$11+1,1))</f>
        <v>345.45636360520137</v>
      </c>
      <c r="BJ6" s="59">
        <f t="shared" si="38"/>
        <v>469.30074822262549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12.6</v>
      </c>
      <c r="N7" s="13">
        <f>IF('Données projet'!$A$36&gt;35,N6+M7-V6,IF(A7&lt;'Données projet'!$A$36,$K$205^A7,IF(A7='Données projet'!$A$36,'Données projet'!$B$36,N6+M7-V6)))</f>
        <v>4.046285112528988</v>
      </c>
      <c r="O7" s="13">
        <f>N7*VLOOKUP('Données projet'!$B$9,Paramètres!$A$1:$I$89,3,0)*VLOOKUP('Données projet'!$B$9,Paramètres!$A$1:$I$89,5,0)</f>
        <v>2.2618733779037044</v>
      </c>
      <c r="P7" s="13">
        <f t="shared" si="33"/>
        <v>0.94789502748398335</v>
      </c>
      <c r="Q7" s="20">
        <f t="shared" si="2"/>
        <v>5.5903466393835552</v>
      </c>
      <c r="R7" s="59">
        <f t="shared" si="0"/>
        <v>267.14590219493908</v>
      </c>
      <c r="S7" s="59">
        <f ca="1">AVERAGE(OFFSET($R$3,0,0,'Données projet'!$E$9+1,1))-AVERAGE(OFFSET($H$3,0,0,'Données projet'!$E$9+1,1))</f>
        <v>534.78683721545372</v>
      </c>
      <c r="T7" s="59">
        <f t="shared" si="34"/>
        <v>710.59298755711075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9.6666666666666661</v>
      </c>
      <c r="AI7" s="13">
        <f>IF('Données projet'!$A$62&gt;35,AI6+AH7-AQ6,IF(A7&lt;'Données projet'!$A$62,$AF$205^A7,IF(A7='Données projet'!$A$62,'Données projet'!$B$62,AI6+AH7-AQ6)))</f>
        <v>4.8769989610733138</v>
      </c>
      <c r="AJ7" s="13">
        <f>AI7*VLOOKUP('Données projet'!$B$10,Paramètres!$A$1:$I$89,3,0)*VLOOKUP('Données projet'!$B$10,Paramètres!$A$1:$I$89,5,0)</f>
        <v>2.6628414327460295</v>
      </c>
      <c r="AK7" s="13">
        <f t="shared" si="35"/>
        <v>1.0949320721157787</v>
      </c>
      <c r="AL7" s="20">
        <f t="shared" si="4"/>
        <v>6.5447888543009825</v>
      </c>
      <c r="AM7" s="59">
        <f t="shared" si="5"/>
        <v>268.10034440985652</v>
      </c>
      <c r="AN7" s="59">
        <f ca="1">AVERAGE(OFFSET($AM$3,0,0,'Données projet'!$E$10+1,1))-AVERAGE(OFFSET($H$3,0,0,'Données projet'!$E$10+1,1))</f>
        <v>207.02306964567629</v>
      </c>
      <c r="AO7" s="59">
        <f t="shared" si="36"/>
        <v>342.06887933351783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</v>
      </c>
      <c r="BD7" s="12">
        <f>IF('Données projet'!$A$88&gt;35,BD6+BC7-BL6,IF(A7&lt;'Données projet'!$A$88,$BA$205^A7,IF(A7='Données projet'!$A$88,'Données projet'!$B$88,BD6+BC7-BL6)))</f>
        <v>3.0174223953390515</v>
      </c>
      <c r="BE7" s="13">
        <f>BD7*VLOOKUP('Données projet'!$B$11,Paramètres!$A$1:$I$89,3,0)*VLOOKUP('Données projet'!$B$11,Paramètres!$A$1:$I$89,5,0)</f>
        <v>1.4121536810186761</v>
      </c>
      <c r="BF7" s="13">
        <f t="shared" si="37"/>
        <v>0.62515508327221625</v>
      </c>
      <c r="BG7" s="20">
        <f t="shared" si="7"/>
        <v>3.5483127644733039</v>
      </c>
      <c r="BH7" s="59">
        <f t="shared" si="8"/>
        <v>265.10386832002882</v>
      </c>
      <c r="BI7" s="59">
        <f ca="1">AVERAGE(OFFSET($BH$3,0,0,'Données projet'!$E$11+1,1))-AVERAGE(OFFSET($H$3,0,0,'Données projet'!$E$11+1,1))</f>
        <v>345.45636360520137</v>
      </c>
      <c r="BJ7" s="59">
        <f t="shared" si="38"/>
        <v>469.30074822262549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12.6</v>
      </c>
      <c r="N8" s="13">
        <f>IF('Données projet'!$A$36&gt;35,N7+M8-V7,IF(A8&lt;'Données projet'!$A$36,$K$205^A8,IF(A8='Données projet'!$A$36,'Données projet'!$B$36,N7+M8-V7)))</f>
        <v>5.7387935483171679</v>
      </c>
      <c r="O8" s="13">
        <f>N8*VLOOKUP('Données projet'!$B$9,Paramètres!$A$1:$I$89,3,0)*VLOOKUP('Données projet'!$B$9,Paramètres!$A$1:$I$89,5,0)</f>
        <v>3.2079855935092971</v>
      </c>
      <c r="P8" s="13">
        <f t="shared" si="33"/>
        <v>1.2908001931180566</v>
      </c>
      <c r="Q8" s="20">
        <f t="shared" si="2"/>
        <v>7.83538524504264</v>
      </c>
      <c r="R8" s="59">
        <f t="shared" si="0"/>
        <v>270.6131630228204</v>
      </c>
      <c r="S8" s="59">
        <f ca="1">AVERAGE(OFFSET($R$3,0,0,'Données projet'!$E$9+1,1))-AVERAGE(OFFSET($H$3,0,0,'Données projet'!$E$9+1,1))</f>
        <v>534.78683721545372</v>
      </c>
      <c r="T8" s="59">
        <f t="shared" si="34"/>
        <v>710.59298755711075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9.6666666666666661</v>
      </c>
      <c r="AI8" s="13">
        <f>IF('Données projet'!$A$62&gt;35,AI7+AH8-AQ7,IF(A8&lt;'Données projet'!$A$62,$AF$205^A8,IF(A8='Données projet'!$A$62,'Données projet'!$B$62,AI7+AH8-AQ7)))</f>
        <v>7.2475434692871694</v>
      </c>
      <c r="AJ8" s="13">
        <f>AI8*VLOOKUP('Données projet'!$B$10,Paramètres!$A$1:$I$89,3,0)*VLOOKUP('Données projet'!$B$10,Paramètres!$A$1:$I$89,5,0)</f>
        <v>3.9571587342307946</v>
      </c>
      <c r="AK8" s="13">
        <f t="shared" si="35"/>
        <v>1.5538178288453746</v>
      </c>
      <c r="AL8" s="20">
        <f t="shared" si="4"/>
        <v>9.5982841806909942</v>
      </c>
      <c r="AM8" s="59">
        <f t="shared" si="5"/>
        <v>272.37606195846877</v>
      </c>
      <c r="AN8" s="59">
        <f ca="1">AVERAGE(OFFSET($AM$3,0,0,'Données projet'!$E$10+1,1))-AVERAGE(OFFSET($H$3,0,0,'Données projet'!$E$10+1,1))</f>
        <v>207.02306964567629</v>
      </c>
      <c r="AO8" s="59">
        <f t="shared" si="36"/>
        <v>342.06887933351783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8</v>
      </c>
      <c r="BD8" s="12">
        <f>IF('Données projet'!$A$88&gt;35,BD7+BC8-BL7,IF(A8&lt;'Données projet'!$A$88,$BA$205^A8,IF(A8='Données projet'!$A$88,'Données projet'!$B$88,BD7+BC8-BL7)))</f>
        <v>3.9769042672103678</v>
      </c>
      <c r="BE8" s="13">
        <f>BD8*VLOOKUP('Données projet'!$B$11,Paramètres!$A$1:$I$89,3,0)*VLOOKUP('Données projet'!$B$11,Paramètres!$A$1:$I$89,5,0)</f>
        <v>1.8611911970544521</v>
      </c>
      <c r="BF8" s="13">
        <f t="shared" si="37"/>
        <v>0.79788331507942867</v>
      </c>
      <c r="BG8" s="20">
        <f t="shared" si="7"/>
        <v>4.6312214419665088</v>
      </c>
      <c r="BH8" s="59">
        <f t="shared" si="8"/>
        <v>267.40899921974426</v>
      </c>
      <c r="BI8" s="59">
        <f ca="1">AVERAGE(OFFSET($BH$3,0,0,'Données projet'!$E$11+1,1))-AVERAGE(OFFSET($H$3,0,0,'Données projet'!$E$11+1,1))</f>
        <v>345.45636360520137</v>
      </c>
      <c r="BJ8" s="59">
        <f t="shared" si="38"/>
        <v>469.30074822262549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12.6</v>
      </c>
      <c r="N9" s="13">
        <f>IF('Données projet'!$A$36&gt;35,N8+M9-V8,IF(A9&lt;'Données projet'!$A$36,$K$205^A9,IF(A9='Données projet'!$A$36,'Données projet'!$B$36,N8+M9-V8)))</f>
        <v>8.1392562496968175</v>
      </c>
      <c r="O9" s="13">
        <f>N9*VLOOKUP('Données projet'!$B$9,Paramètres!$A$1:$I$89,3,0)*VLOOKUP('Données projet'!$B$9,Paramètres!$A$1:$I$89,5,0)</f>
        <v>4.5498442435805213</v>
      </c>
      <c r="P9" s="13">
        <f t="shared" si="33"/>
        <v>1.7577527998813831</v>
      </c>
      <c r="Q9" s="20">
        <f t="shared" si="2"/>
        <v>10.985731517362817</v>
      </c>
      <c r="R9" s="59">
        <f t="shared" si="0"/>
        <v>274.98573151736281</v>
      </c>
      <c r="S9" s="59">
        <f ca="1">AVERAGE(OFFSET($R$3,0,0,'Données projet'!$E$9+1,1))-AVERAGE(OFFSET($H$3,0,0,'Données projet'!$E$9+1,1))</f>
        <v>534.78683721545372</v>
      </c>
      <c r="T9" s="59">
        <f t="shared" si="34"/>
        <v>710.59298755711075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9.6666666666666661</v>
      </c>
      <c r="AI9" s="13">
        <f>IF('Données projet'!$A$62&gt;35,AI8+AH9-AQ8,IF(A9&lt;'Données projet'!$A$62,$AF$205^A9,IF(A9='Données projet'!$A$62,'Données projet'!$B$62,AI8+AH9-AQ8)))</f>
        <v>10.770329614269009</v>
      </c>
      <c r="AJ9" s="13">
        <f>AI9*VLOOKUP('Données projet'!$B$10,Paramètres!$A$1:$I$89,3,0)*VLOOKUP('Données projet'!$B$10,Paramètres!$A$1:$I$89,5,0)</f>
        <v>5.8805999693908788</v>
      </c>
      <c r="AK9" s="13">
        <f t="shared" si="35"/>
        <v>2.2050224910961043</v>
      </c>
      <c r="AL9" s="20">
        <f t="shared" si="4"/>
        <v>14.082459118681493</v>
      </c>
      <c r="AM9" s="59">
        <f t="shared" si="5"/>
        <v>278.08245911868147</v>
      </c>
      <c r="AN9" s="59">
        <f ca="1">AVERAGE(OFFSET($AM$3,0,0,'Données projet'!$E$10+1,1))-AVERAGE(OFFSET($H$3,0,0,'Données projet'!$E$10+1,1))</f>
        <v>207.02306964567629</v>
      </c>
      <c r="AO9" s="59">
        <f t="shared" si="36"/>
        <v>342.06887933351783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8</v>
      </c>
      <c r="BD9" s="12">
        <f>IF('Données projet'!$A$88&gt;35,BD8+BC9-BL8,IF(A9&lt;'Données projet'!$A$88,$BA$205^A9,IF(A9='Données projet'!$A$88,'Données projet'!$B$88,BD8+BC9-BL8)))</f>
        <v>5.2414827884177937</v>
      </c>
      <c r="BE9" s="13">
        <f>BD9*VLOOKUP('Données projet'!$B$11,Paramètres!$A$1:$I$89,3,0)*VLOOKUP('Données projet'!$B$11,Paramètres!$A$1:$I$89,5,0)</f>
        <v>2.4530139449795274</v>
      </c>
      <c r="BF9" s="13">
        <f t="shared" si="37"/>
        <v>1.0183357722213886</v>
      </c>
      <c r="BG9" s="20">
        <f t="shared" si="7"/>
        <v>6.0459340907915946</v>
      </c>
      <c r="BH9" s="59">
        <f t="shared" si="8"/>
        <v>270.0459340907916</v>
      </c>
      <c r="BI9" s="59">
        <f ca="1">AVERAGE(OFFSET($BH$3,0,0,'Données projet'!$E$11+1,1))-AVERAGE(OFFSET($H$3,0,0,'Données projet'!$E$11+1,1))</f>
        <v>345.45636360520137</v>
      </c>
      <c r="BJ9" s="59">
        <f t="shared" si="38"/>
        <v>469.30074822262549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12.6</v>
      </c>
      <c r="N10" s="13">
        <f>IF('Données projet'!$A$36&gt;35,N9+M10-V9,IF(A10&lt;'Données projet'!$A$36,$K$205^A10,IF(A10='Données projet'!$A$36,'Données projet'!$B$36,N9+M10-V9)))</f>
        <v>11.543801278171953</v>
      </c>
      <c r="O10" s="13">
        <f>N10*VLOOKUP('Données projet'!$B$9,Paramètres!$A$1:$I$89,3,0)*VLOOKUP('Données projet'!$B$9,Paramètres!$A$1:$I$89,5,0)</f>
        <v>6.4529849144981215</v>
      </c>
      <c r="P10" s="13">
        <f t="shared" si="33"/>
        <v>2.3936275513155714</v>
      </c>
      <c r="Q10" s="20">
        <f t="shared" si="2"/>
        <v>15.407850044625512</v>
      </c>
      <c r="R10" s="59">
        <f t="shared" si="0"/>
        <v>280.63007226684772</v>
      </c>
      <c r="S10" s="59">
        <f ca="1">AVERAGE(OFFSET($R$3,0,0,'Données projet'!$E$9+1,1))-AVERAGE(OFFSET($H$3,0,0,'Données projet'!$E$9+1,1))</f>
        <v>534.78683721545372</v>
      </c>
      <c r="T10" s="59">
        <f t="shared" si="34"/>
        <v>710.59298755711075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9.6666666666666661</v>
      </c>
      <c r="AI10" s="13">
        <f>IF('Données projet'!$A$62&gt;35,AI9+AH10-AQ9,IF(A10&lt;'Données projet'!$A$62,$AF$205^A10,IF(A10='Données projet'!$A$62,'Données projet'!$B$62,AI9+AH10-AQ9)))</f>
        <v>16.005423146694032</v>
      </c>
      <c r="AJ10" s="13">
        <f>AI10*VLOOKUP('Données projet'!$B$10,Paramètres!$A$1:$I$89,3,0)*VLOOKUP('Données projet'!$B$10,Paramètres!$A$1:$I$89,5,0)</f>
        <v>8.7389610380949421</v>
      </c>
      <c r="AK10" s="13">
        <f t="shared" si="35"/>
        <v>3.1291468639233355</v>
      </c>
      <c r="AL10" s="20">
        <f t="shared" si="4"/>
        <v>20.6702879293485</v>
      </c>
      <c r="AM10" s="59">
        <f t="shared" si="5"/>
        <v>285.89251015157072</v>
      </c>
      <c r="AN10" s="59">
        <f ca="1">AVERAGE(OFFSET($AM$3,0,0,'Données projet'!$E$10+1,1))-AVERAGE(OFFSET($H$3,0,0,'Données projet'!$E$10+1,1))</f>
        <v>207.02306964567629</v>
      </c>
      <c r="AO10" s="59">
        <f t="shared" si="36"/>
        <v>342.06887933351783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8</v>
      </c>
      <c r="BD10" s="12">
        <f>IF('Données projet'!$A$88&gt;35,BD9+BC10-BL9,IF(A10&lt;'Données projet'!$A$88,$BA$205^A10,IF(A10='Données projet'!$A$88,'Données projet'!$B$88,BD9+BC10-BL9)))</f>
        <v>6.9081727834880056</v>
      </c>
      <c r="BE10" s="13">
        <f>BD10*VLOOKUP('Données projet'!$B$11,Paramètres!$A$1:$I$89,3,0)*VLOOKUP('Données projet'!$B$11,Paramètres!$A$1:$I$89,5,0)</f>
        <v>3.2330248626723868</v>
      </c>
      <c r="BF10" s="13">
        <f t="shared" si="37"/>
        <v>1.2996984964931853</v>
      </c>
      <c r="BG10" s="20">
        <f t="shared" si="7"/>
        <v>7.8944931838800372</v>
      </c>
      <c r="BH10" s="59">
        <f t="shared" si="8"/>
        <v>273.11671540610229</v>
      </c>
      <c r="BI10" s="59">
        <f ca="1">AVERAGE(OFFSET($BH$3,0,0,'Données projet'!$E$11+1,1))-AVERAGE(OFFSET($H$3,0,0,'Données projet'!$E$11+1,1))</f>
        <v>345.45636360520137</v>
      </c>
      <c r="BJ10" s="59">
        <f t="shared" si="38"/>
        <v>469.30074822262549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12.6</v>
      </c>
      <c r="N11" s="13">
        <f>IF('Données projet'!$A$36&gt;35,N10+M11-V10,IF(A11&lt;'Données projet'!$A$36,$K$205^A11,IF(A11='Données projet'!$A$36,'Données projet'!$B$36,N10+M11-V10)))</f>
        <v>16.372423211873727</v>
      </c>
      <c r="O11" s="13">
        <f>N11*VLOOKUP('Données projet'!$B$9,Paramètres!$A$1:$I$89,3,0)*VLOOKUP('Données projet'!$B$9,Paramètres!$A$1:$I$89,5,0)</f>
        <v>9.1521845754374134</v>
      </c>
      <c r="P11" s="13">
        <f t="shared" si="33"/>
        <v>3.2595327709354898</v>
      </c>
      <c r="Q11" s="20">
        <f t="shared" si="2"/>
        <v>21.617074378266139</v>
      </c>
      <c r="R11" s="59">
        <f t="shared" si="0"/>
        <v>288.06151882271058</v>
      </c>
      <c r="S11" s="59">
        <f ca="1">AVERAGE(OFFSET($R$3,0,0,'Données projet'!$E$9+1,1))-AVERAGE(OFFSET($H$3,0,0,'Données projet'!$E$9+1,1))</f>
        <v>534.78683721545372</v>
      </c>
      <c r="T11" s="59">
        <f t="shared" si="34"/>
        <v>710.59298755711075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9.6666666666666661</v>
      </c>
      <c r="AI11" s="13">
        <f>IF('Données projet'!$A$62&gt;35,AI10+AH11-AQ10,IF(A11&lt;'Données projet'!$A$62,$AF$205^A11,IF(A11='Données projet'!$A$62,'Données projet'!$B$62,AI10+AH11-AQ10)))</f>
        <v>23.785118866310182</v>
      </c>
      <c r="AJ11" s="13">
        <f>AI11*VLOOKUP('Données projet'!$B$10,Paramètres!$A$1:$I$89,3,0)*VLOOKUP('Données projet'!$B$10,Paramètres!$A$1:$I$89,5,0)</f>
        <v>12.98667490100536</v>
      </c>
      <c r="AK11" s="13">
        <f t="shared" si="35"/>
        <v>4.4405715295601897</v>
      </c>
      <c r="AL11" s="20">
        <f t="shared" si="4"/>
        <v>30.352454199901668</v>
      </c>
      <c r="AM11" s="59">
        <f t="shared" si="5"/>
        <v>296.79689864434613</v>
      </c>
      <c r="AN11" s="59">
        <f ca="1">AVERAGE(OFFSET($AM$3,0,0,'Données projet'!$E$10+1,1))-AVERAGE(OFFSET($H$3,0,0,'Données projet'!$E$10+1,1))</f>
        <v>207.02306964567629</v>
      </c>
      <c r="AO11" s="59">
        <f t="shared" si="36"/>
        <v>342.06887933351783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8</v>
      </c>
      <c r="BD11" s="12">
        <f>IF('Données projet'!$A$88&gt;35,BD10+BC11-BL10,IF(A11&lt;'Données projet'!$A$88,$BA$205^A11,IF(A11='Données projet'!$A$88,'Données projet'!$B$88,BD10+BC11-BL10)))</f>
        <v>9.1048379118936591</v>
      </c>
      <c r="BE11" s="13">
        <f>BD11*VLOOKUP('Données projet'!$B$11,Paramètres!$A$1:$I$89,3,0)*VLOOKUP('Données projet'!$B$11,Paramètres!$A$1:$I$89,5,0)</f>
        <v>4.2610641427662319</v>
      </c>
      <c r="BF11" s="13">
        <f t="shared" si="37"/>
        <v>1.6588007883704257</v>
      </c>
      <c r="BG11" s="20">
        <f t="shared" si="7"/>
        <v>10.31043142172968</v>
      </c>
      <c r="BH11" s="59">
        <f t="shared" si="8"/>
        <v>276.75487586617413</v>
      </c>
      <c r="BI11" s="59">
        <f ca="1">AVERAGE(OFFSET($BH$3,0,0,'Données projet'!$E$11+1,1))-AVERAGE(OFFSET($H$3,0,0,'Données projet'!$E$11+1,1))</f>
        <v>345.45636360520137</v>
      </c>
      <c r="BJ11" s="59">
        <f t="shared" si="38"/>
        <v>469.30074822262549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12.6</v>
      </c>
      <c r="N12" s="13">
        <f>IF('Données projet'!$A$36&gt;35,N11+M12-V11,IF(A12&lt;'Données projet'!$A$36,$K$205^A12,IF(A12='Données projet'!$A$36,'Données projet'!$B$36,N11+M12-V11)))</f>
        <v>23.220794898433166</v>
      </c>
      <c r="O12" s="13">
        <f>N12*VLOOKUP('Données projet'!$B$9,Paramètres!$A$1:$I$89,3,0)*VLOOKUP('Données projet'!$B$9,Paramètres!$A$1:$I$89,5,0)</f>
        <v>12.98042434822414</v>
      </c>
      <c r="P12" s="13">
        <f t="shared" si="33"/>
        <v>4.4386829851465368</v>
      </c>
      <c r="Q12" s="20">
        <f t="shared" si="2"/>
        <v>30.338278605620587</v>
      </c>
      <c r="R12" s="59">
        <f t="shared" si="0"/>
        <v>298.00494527228727</v>
      </c>
      <c r="S12" s="59">
        <f ca="1">AVERAGE(OFFSET($R$3,0,0,'Données projet'!$E$9+1,1))-AVERAGE(OFFSET($H$3,0,0,'Données projet'!$E$9+1,1))</f>
        <v>534.78683721545372</v>
      </c>
      <c r="T12" s="59">
        <f t="shared" si="34"/>
        <v>710.59298755711075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9.6666666666666661</v>
      </c>
      <c r="AI12" s="13">
        <f>IF('Données projet'!$A$62&gt;35,AI11+AH12-AQ11,IF(A12&lt;'Données projet'!$A$62,$AF$205^A12,IF(A12='Données projet'!$A$62,'Données projet'!$B$62,AI11+AH12-AQ11)))</f>
        <v>35.346261970047209</v>
      </c>
      <c r="AJ12" s="13">
        <f>AI12*VLOOKUP('Données projet'!$B$10,Paramètres!$A$1:$I$89,3,0)*VLOOKUP('Données projet'!$B$10,Paramètres!$A$1:$I$89,5,0)</f>
        <v>19.299059035645776</v>
      </c>
      <c r="AK12" s="13">
        <f t="shared" si="35"/>
        <v>6.301613943558138</v>
      </c>
      <c r="AL12" s="20">
        <f t="shared" si="4"/>
        <v>44.587838772113486</v>
      </c>
      <c r="AM12" s="59">
        <f t="shared" si="5"/>
        <v>312.25450543878014</v>
      </c>
      <c r="AN12" s="59">
        <f ca="1">AVERAGE(OFFSET($AM$3,0,0,'Données projet'!$E$10+1,1))-AVERAGE(OFFSET($H$3,0,0,'Données projet'!$E$10+1,1))</f>
        <v>207.02306964567629</v>
      </c>
      <c r="AO12" s="59">
        <f t="shared" si="36"/>
        <v>342.06887933351783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8</v>
      </c>
      <c r="BD12" s="12">
        <f>IF('Données projet'!$A$88&gt;35,BD11+BC12-BL11,IF(A12&lt;'Données projet'!$A$88,$BA$205^A12,IF(A12='Données projet'!$A$88,'Données projet'!$B$88,BD11+BC12-BL11)))</f>
        <v>12.000000000000004</v>
      </c>
      <c r="BE12" s="13">
        <f>BD12*VLOOKUP('Données projet'!$B$11,Paramètres!$A$1:$I$89,3,0)*VLOOKUP('Données projet'!$B$11,Paramètres!$A$1:$I$89,5,0)</f>
        <v>5.6160000000000014</v>
      </c>
      <c r="BF12" s="13">
        <f t="shared" si="37"/>
        <v>2.117121827041196</v>
      </c>
      <c r="BG12" s="20">
        <f t="shared" si="7"/>
        <v>13.468520515430084</v>
      </c>
      <c r="BH12" s="59">
        <f t="shared" si="8"/>
        <v>281.13518718209679</v>
      </c>
      <c r="BI12" s="59">
        <f ca="1">AVERAGE(OFFSET($BH$3,0,0,'Données projet'!$E$11+1,1))-AVERAGE(OFFSET($H$3,0,0,'Données projet'!$E$11+1,1))</f>
        <v>345.45636360520137</v>
      </c>
      <c r="BJ12" s="59">
        <f t="shared" si="38"/>
        <v>469.30074822262549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12.6</v>
      </c>
      <c r="N13" s="13">
        <f>IF('Données projet'!$A$36&gt;35,N12+M13-V12,IF(A13&lt;'Données projet'!$A$36,$K$205^A13,IF(A13='Données projet'!$A$36,'Données projet'!$B$36,N12+M13-V12)))</f>
        <v>32.933751390206758</v>
      </c>
      <c r="O13" s="13">
        <f>N13*VLOOKUP('Données projet'!$B$9,Paramètres!$A$1:$I$89,3,0)*VLOOKUP('Données projet'!$B$9,Paramètres!$A$1:$I$89,5,0)</f>
        <v>18.409967027125578</v>
      </c>
      <c r="P13" s="13">
        <f t="shared" si="33"/>
        <v>6.0443959386777069</v>
      </c>
      <c r="Q13" s="20">
        <f t="shared" si="2"/>
        <v>42.591348832107379</v>
      </c>
      <c r="R13" s="59">
        <f t="shared" si="0"/>
        <v>311.48023772099623</v>
      </c>
      <c r="S13" s="59">
        <f ca="1">AVERAGE(OFFSET($R$3,0,0,'Données projet'!$E$9+1,1))-AVERAGE(OFFSET($H$3,0,0,'Données projet'!$E$9+1,1))</f>
        <v>534.78683721545372</v>
      </c>
      <c r="T13" s="59">
        <f t="shared" si="34"/>
        <v>710.59298755711075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9.6666666666666661</v>
      </c>
      <c r="AI13" s="13">
        <f>IF('Données projet'!$A$62&gt;35,AI12+AH13-AQ12,IF(A13&lt;'Données projet'!$A$62,$AF$205^A13,IF(A13='Données projet'!$A$62,'Données projet'!$B$62,AI12+AH13-AQ12)))</f>
        <v>52.526886339207103</v>
      </c>
      <c r="AJ13" s="13">
        <f>AI13*VLOOKUP('Données projet'!$B$10,Paramètres!$A$1:$I$89,3,0)*VLOOKUP('Données projet'!$B$10,Paramètres!$A$1:$I$89,5,0)</f>
        <v>28.679679941207077</v>
      </c>
      <c r="AK13" s="13">
        <f t="shared" si="35"/>
        <v>8.9426187663684367</v>
      </c>
      <c r="AL13" s="20">
        <f t="shared" si="4"/>
        <v>65.525503582360685</v>
      </c>
      <c r="AM13" s="59">
        <f t="shared" si="5"/>
        <v>334.41439247124953</v>
      </c>
      <c r="AN13" s="59">
        <f ca="1">AVERAGE(OFFSET($AM$3,0,0,'Données projet'!$E$10+1,1))-AVERAGE(OFFSET($H$3,0,0,'Données projet'!$E$10+1,1))</f>
        <v>207.02306964567629</v>
      </c>
      <c r="AO13" s="59">
        <f t="shared" si="36"/>
        <v>342.06887933351783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8</v>
      </c>
      <c r="BD13" s="12">
        <f>IF('Données projet'!$A$88&gt;35,BD12+BC13-BL12,IF(A13&lt;'Données projet'!$A$88,$BA$205^A13,IF(A13='Données projet'!$A$88,'Données projet'!$B$88,BD12+BC13-BL12)))</f>
        <v>15.81576755055603</v>
      </c>
      <c r="BE13" s="13">
        <f>BD13*VLOOKUP('Données projet'!$B$11,Paramètres!$A$1:$I$89,3,0)*VLOOKUP('Données projet'!$B$11,Paramètres!$A$1:$I$89,5,0)</f>
        <v>7.4017792136602223</v>
      </c>
      <c r="BF13" s="13">
        <f t="shared" si="37"/>
        <v>2.7020754161429368</v>
      </c>
      <c r="BG13" s="20">
        <f t="shared" si="7"/>
        <v>17.597546813573835</v>
      </c>
      <c r="BH13" s="59">
        <f t="shared" si="8"/>
        <v>286.4864357024627</v>
      </c>
      <c r="BI13" s="59">
        <f ca="1">AVERAGE(OFFSET($BH$3,0,0,'Données projet'!$E$11+1,1))-AVERAGE(OFFSET($H$3,0,0,'Données projet'!$E$11+1,1))</f>
        <v>345.45636360520137</v>
      </c>
      <c r="BJ13" s="59">
        <f t="shared" si="38"/>
        <v>469.30074822262549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12.6</v>
      </c>
      <c r="N14" s="13">
        <f>IF('Données projet'!$A$36&gt;35,N13+M14-V13,IF(A14&lt;'Données projet'!$A$36,$K$205^A14,IF(A14='Données projet'!$A$36,'Données projet'!$B$36,N13+M14-V13)))</f>
        <v>46.709511253860285</v>
      </c>
      <c r="O14" s="13">
        <f>N14*VLOOKUP('Données projet'!$B$9,Paramètres!$A$1:$I$89,3,0)*VLOOKUP('Données projet'!$B$9,Paramètres!$A$1:$I$89,5,0)</f>
        <v>26.110616790907901</v>
      </c>
      <c r="P14" s="13">
        <f t="shared" si="33"/>
        <v>8.2309825652704038</v>
      </c>
      <c r="Q14" s="20">
        <f t="shared" si="2"/>
        <v>59.811618878677223</v>
      </c>
      <c r="R14" s="59">
        <f t="shared" si="0"/>
        <v>329.92272998978837</v>
      </c>
      <c r="S14" s="59">
        <f ca="1">AVERAGE(OFFSET($R$3,0,0,'Données projet'!$E$9+1,1))-AVERAGE(OFFSET($H$3,0,0,'Données projet'!$E$9+1,1))</f>
        <v>534.78683721545372</v>
      </c>
      <c r="T14" s="59">
        <f t="shared" si="34"/>
        <v>710.59298755711075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9.6666666666666661</v>
      </c>
      <c r="AI14" s="13">
        <f>IF('Données projet'!$A$62&gt;35,AI13+AH14-AQ13,IF(A14&lt;'Données projet'!$A$62,$AF$205^A14,IF(A14='Données projet'!$A$62,'Données projet'!$B$62,AI13+AH14-AQ13)))</f>
        <v>78.058432057965561</v>
      </c>
      <c r="AJ14" s="13">
        <f>AI14*VLOOKUP('Données projet'!$B$10,Paramètres!$A$1:$I$89,3,0)*VLOOKUP('Données projet'!$B$10,Paramètres!$A$1:$I$89,5,0)</f>
        <v>42.619903903649202</v>
      </c>
      <c r="AK14" s="13">
        <f t="shared" si="35"/>
        <v>12.690468047849112</v>
      </c>
      <c r="AL14" s="20">
        <f t="shared" si="4"/>
        <v>96.332231148859549</v>
      </c>
      <c r="AM14" s="59">
        <f t="shared" si="5"/>
        <v>366.44334225997068</v>
      </c>
      <c r="AN14" s="59">
        <f ca="1">AVERAGE(OFFSET($AM$3,0,0,'Données projet'!$E$10+1,1))-AVERAGE(OFFSET($H$3,0,0,'Données projet'!$E$10+1,1))</f>
        <v>207.02306964567629</v>
      </c>
      <c r="AO14" s="59">
        <f t="shared" si="36"/>
        <v>342.06887933351783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</v>
      </c>
      <c r="BD14" s="12">
        <f>IF('Données projet'!$A$88&gt;35,BD13+BC14-BL13,IF(A14&lt;'Données projet'!$A$88,$BA$205^A14,IF(A14='Données projet'!$A$88,'Données projet'!$B$88,BD13+BC14-BL13)))</f>
        <v>20.844875267768419</v>
      </c>
      <c r="BE14" s="13">
        <f>BD14*VLOOKUP('Données projet'!$B$11,Paramètres!$A$1:$I$89,3,0)*VLOOKUP('Données projet'!$B$11,Paramètres!$A$1:$I$89,5,0)</f>
        <v>9.7554016253156188</v>
      </c>
      <c r="BF14" s="13">
        <f t="shared" si="37"/>
        <v>3.4486497003943812</v>
      </c>
      <c r="BG14" s="20">
        <f t="shared" si="7"/>
        <v>22.997056058944917</v>
      </c>
      <c r="BH14" s="59">
        <f t="shared" si="8"/>
        <v>293.10816717005605</v>
      </c>
      <c r="BI14" s="59">
        <f ca="1">AVERAGE(OFFSET($BH$3,0,0,'Données projet'!$E$11+1,1))-AVERAGE(OFFSET($H$3,0,0,'Données projet'!$E$11+1,1))</f>
        <v>345.45636360520137</v>
      </c>
      <c r="BJ14" s="59">
        <f t="shared" si="38"/>
        <v>469.30074822262549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12.6</v>
      </c>
      <c r="N15" s="13">
        <f>IF('Données projet'!$A$36&gt;35,N14+M15-V14,IF(A15&lt;'Données projet'!$A$36,$K$205^A15,IF(A15='Données projet'!$A$36,'Données projet'!$B$36,N14+M15-V14)))</f>
        <v>66.247492298228693</v>
      </c>
      <c r="O15" s="13">
        <f>N15*VLOOKUP('Données projet'!$B$9,Paramètres!$A$1:$I$89,3,0)*VLOOKUP('Données projet'!$B$9,Paramètres!$A$1:$I$89,5,0)</f>
        <v>37.03234819470984</v>
      </c>
      <c r="P15" s="13">
        <f t="shared" si="33"/>
        <v>11.20857645282026</v>
      </c>
      <c r="Q15" s="20">
        <f t="shared" si="2"/>
        <v>84.019610427781586</v>
      </c>
      <c r="R15" s="59">
        <f t="shared" si="0"/>
        <v>355.35294376111489</v>
      </c>
      <c r="S15" s="59">
        <f ca="1">AVERAGE(OFFSET($R$3,0,0,'Données projet'!$E$9+1,1))-AVERAGE(OFFSET($H$3,0,0,'Données projet'!$E$9+1,1))</f>
        <v>534.78683721545372</v>
      </c>
      <c r="T15" s="59">
        <f t="shared" si="34"/>
        <v>710.59298755711075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116</v>
      </c>
      <c r="AG15" s="12">
        <f>VLOOKUP(A15,'Données projet'!$A$61:$I$81,9,0)</f>
        <v>9.6666666666666661</v>
      </c>
      <c r="AH15" s="12">
        <f t="array" ref="AH15">INDEX(AG:AG,MIN(IF(ISNUMBER(AG15:AG211),ROW(AG15:AG211),"")))</f>
        <v>9.6666666666666661</v>
      </c>
      <c r="AI15" s="13">
        <f>IF('Données projet'!$A$62&gt;35,AI14+AH15-AQ14,IF(A15&lt;'Données projet'!$A$62,$AF$205^A15,IF(A15='Données projet'!$A$62,'Données projet'!$B$62,AI14+AH15-AQ14)))</f>
        <v>116</v>
      </c>
      <c r="AJ15" s="13">
        <f>AI15*VLOOKUP('Données projet'!$B$10,Paramètres!$A$1:$I$89,3,0)*VLOOKUP('Données projet'!$B$10,Paramètres!$A$1:$I$89,5,0)</f>
        <v>63.335999999999999</v>
      </c>
      <c r="AK15" s="13">
        <f t="shared" si="35"/>
        <v>18.009040022946227</v>
      </c>
      <c r="AL15" s="20">
        <f t="shared" si="4"/>
        <v>141.67594470663133</v>
      </c>
      <c r="AM15" s="59">
        <f t="shared" si="5"/>
        <v>413.00927803996467</v>
      </c>
      <c r="AN15" s="59">
        <f ca="1">AVERAGE(OFFSET($AM$3,0,0,'Données projet'!$E$10+1,1))-AVERAGE(OFFSET($H$3,0,0,'Données projet'!$E$10+1,1))</f>
        <v>207.02306964567629</v>
      </c>
      <c r="AO15" s="59">
        <f t="shared" si="36"/>
        <v>342.06887933351783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21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0.12</v>
      </c>
      <c r="AT15" s="16">
        <f>IF(ISNA(VLOOKUP(A15,'Données projet'!$A$61:$I$81,7,0)),0%,VLOOKUP(A15,'Données projet'!$A$61:$I$81,7,0))</f>
        <v>0.8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1.8180598743264211</v>
      </c>
      <c r="AW15" s="21">
        <f>EXP(-LN(2)/2)*AW14+(1-EXP(-LN(2)/2))/(LN(2)/2)*AQ15*AT15*VLOOKUP('Données projet'!$B$10,Paramètres!$A$1:$I$89,3,0)*0.475*44/12</f>
        <v>10.385740418750766</v>
      </c>
      <c r="AX15" s="21">
        <f t="shared" si="6"/>
        <v>12.203800293077187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</v>
      </c>
      <c r="BD15" s="12">
        <f>IF('Données projet'!$A$88&gt;35,BD14+BC15-BL14,IF(A15&lt;'Données projet'!$A$88,$BA$205^A15,IF(A15='Données projet'!$A$88,'Données projet'!$B$88,BD14+BC15-BL14)))</f>
        <v>27.473141821279974</v>
      </c>
      <c r="BE15" s="13">
        <f>BD15*VLOOKUP('Données projet'!$B$11,Paramètres!$A$1:$I$89,3,0)*VLOOKUP('Données projet'!$B$11,Paramètres!$A$1:$I$89,5,0)</f>
        <v>12.857430372359026</v>
      </c>
      <c r="BF15" s="13">
        <f t="shared" si="37"/>
        <v>4.4014999303783746</v>
      </c>
      <c r="BG15" s="20">
        <f t="shared" si="7"/>
        <v>30.059303610600974</v>
      </c>
      <c r="BH15" s="59">
        <f t="shared" si="8"/>
        <v>301.39263694393429</v>
      </c>
      <c r="BI15" s="59">
        <f ca="1">AVERAGE(OFFSET($BH$3,0,0,'Données projet'!$E$11+1,1))-AVERAGE(OFFSET($H$3,0,0,'Données projet'!$E$11+1,1))</f>
        <v>345.45636360520137</v>
      </c>
      <c r="BJ15" s="59">
        <f t="shared" si="38"/>
        <v>469.30074822262549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12.6</v>
      </c>
      <c r="N16" s="13">
        <f>IF('Données projet'!$A$36&gt;35,N15+M16-V15,IF(A16&lt;'Données projet'!$A$36,$K$205^A16,IF(A16='Données projet'!$A$36,'Données projet'!$B$36,N15+M16-V15)))</f>
        <v>93.957956698619185</v>
      </c>
      <c r="O16" s="13">
        <f>N16*VLOOKUP('Données projet'!$B$9,Paramètres!$A$1:$I$89,3,0)*VLOOKUP('Données projet'!$B$9,Paramètres!$A$1:$I$89,5,0)</f>
        <v>52.522497794528128</v>
      </c>
      <c r="P16" s="13">
        <f t="shared" si="33"/>
        <v>15.263327932294025</v>
      </c>
      <c r="Q16" s="20">
        <f t="shared" si="2"/>
        <v>118.06031314088193</v>
      </c>
      <c r="R16" s="59">
        <f t="shared" si="0"/>
        <v>390.61586869643747</v>
      </c>
      <c r="S16" s="59">
        <f ca="1">AVERAGE(OFFSET($R$3,0,0,'Données projet'!$E$9+1,1))-AVERAGE(OFFSET($H$3,0,0,'Données projet'!$E$9+1,1))</f>
        <v>534.78683721545372</v>
      </c>
      <c r="T16" s="59">
        <f t="shared" si="34"/>
        <v>710.59298755711075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24.333333333333332</v>
      </c>
      <c r="AI16" s="13">
        <f>IF('Données projet'!$A$62&gt;35,AI15+AH16-AQ15,IF(A16&lt;'Données projet'!$A$62,$AF$205^A16,IF(A16='Données projet'!$A$62,'Données projet'!$B$62,AI15+AH16-AQ15)))</f>
        <v>119.33333333333334</v>
      </c>
      <c r="AJ16" s="13">
        <f>AI16*VLOOKUP('Données projet'!$B$10,Paramètres!$A$1:$I$89,3,0)*VLOOKUP('Données projet'!$B$10,Paramètres!$A$1:$I$89,5,0)</f>
        <v>65.156000000000006</v>
      </c>
      <c r="AK16" s="13">
        <f t="shared" si="35"/>
        <v>18.465547360043153</v>
      </c>
      <c r="AL16" s="20">
        <f t="shared" si="4"/>
        <v>145.64086165207519</v>
      </c>
      <c r="AM16" s="59">
        <f t="shared" si="5"/>
        <v>418.1964172076307</v>
      </c>
      <c r="AN16" s="59">
        <f ca="1">AVERAGE(OFFSET($AM$3,0,0,'Données projet'!$E$10+1,1))-AVERAGE(OFFSET($H$3,0,0,'Données projet'!$E$10+1,1))</f>
        <v>207.02306964567629</v>
      </c>
      <c r="AO16" s="59">
        <f t="shared" si="36"/>
        <v>342.06887933351783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1.7683449314553517</v>
      </c>
      <c r="AW16" s="21">
        <f>EXP(-LN(2)/2)*AW15+(1-EXP(-LN(2)/2))/(LN(2)/2)*AQ16*AT16*VLOOKUP('Données projet'!$B$10,Paramètres!$A$1:$I$89,3,0)*0.475*44/12</f>
        <v>7.3438274777418808</v>
      </c>
      <c r="AX16" s="21">
        <f t="shared" si="6"/>
        <v>9.1121724091972318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</v>
      </c>
      <c r="BD16" s="12">
        <f>IF('Données projet'!$A$88&gt;35,BD15+BC16-BL15,IF(A16&lt;'Données projet'!$A$88,$BA$205^A16,IF(A16='Données projet'!$A$88,'Données projet'!$B$88,BD15+BC16-BL15)))</f>
        <v>36.209068744068631</v>
      </c>
      <c r="BE16" s="13">
        <f>BD16*VLOOKUP('Données projet'!$B$11,Paramètres!$A$1:$I$89,3,0)*VLOOKUP('Données projet'!$B$11,Paramètres!$A$1:$I$89,5,0)</f>
        <v>16.94584417222412</v>
      </c>
      <c r="BF16" s="13">
        <f t="shared" si="37"/>
        <v>5.6176194511449991</v>
      </c>
      <c r="BG16" s="20">
        <f t="shared" si="7"/>
        <v>39.298032477367883</v>
      </c>
      <c r="BH16" s="59">
        <f t="shared" si="8"/>
        <v>311.85358803292343</v>
      </c>
      <c r="BI16" s="59">
        <f ca="1">AVERAGE(OFFSET($BH$3,0,0,'Données projet'!$E$11+1,1))-AVERAGE(OFFSET($H$3,0,0,'Données projet'!$E$11+1,1))</f>
        <v>345.45636360520137</v>
      </c>
      <c r="BJ16" s="59">
        <f t="shared" si="38"/>
        <v>469.30074822262549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12.6</v>
      </c>
      <c r="N17" s="13">
        <f>IF('Données projet'!$A$36&gt;35,N16+M17-V16,IF(A17&lt;'Données projet'!$A$36,$K$205^A17,IF(A17='Données projet'!$A$36,'Données projet'!$B$36,N16+M17-V16)))</f>
        <v>133.25934794992446</v>
      </c>
      <c r="O17" s="13">
        <f>N17*VLOOKUP('Données projet'!$B$9,Paramètres!$A$1:$I$89,3,0)*VLOOKUP('Données projet'!$B$9,Paramètres!$A$1:$I$89,5,0)</f>
        <v>74.491975504007769</v>
      </c>
      <c r="P17" s="13">
        <f t="shared" si="33"/>
        <v>20.784903466499365</v>
      </c>
      <c r="Q17" s="20">
        <f t="shared" si="2"/>
        <v>165.9405642069666</v>
      </c>
      <c r="R17" s="59">
        <f t="shared" si="0"/>
        <v>439.71834198474437</v>
      </c>
      <c r="S17" s="59">
        <f ca="1">AVERAGE(OFFSET($R$3,0,0,'Données projet'!$E$9+1,1))-AVERAGE(OFFSET($H$3,0,0,'Données projet'!$E$9+1,1))</f>
        <v>534.78683721545372</v>
      </c>
      <c r="T17" s="59">
        <f t="shared" si="34"/>
        <v>710.59298755711075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24.333333333333332</v>
      </c>
      <c r="AI17" s="13">
        <f>IF('Données projet'!$A$62&gt;35,AI16+AH17-AQ16,IF(A17&lt;'Données projet'!$A$62,$AF$205^A17,IF(A17='Données projet'!$A$62,'Données projet'!$B$62,AI16+AH17-AQ16)))</f>
        <v>143.66666666666669</v>
      </c>
      <c r="AJ17" s="13">
        <f>AI17*VLOOKUP('Données projet'!$B$10,Paramètres!$A$1:$I$89,3,0)*VLOOKUP('Données projet'!$B$10,Paramètres!$A$1:$I$89,5,0)</f>
        <v>78.442000000000007</v>
      </c>
      <c r="AK17" s="13">
        <f t="shared" si="35"/>
        <v>21.755810093736013</v>
      </c>
      <c r="AL17" s="20">
        <f t="shared" si="4"/>
        <v>174.5111859132569</v>
      </c>
      <c r="AM17" s="59">
        <f t="shared" si="5"/>
        <v>448.28896369103467</v>
      </c>
      <c r="AN17" s="59">
        <f ca="1">AVERAGE(OFFSET($AM$3,0,0,'Données projet'!$E$10+1,1))-AVERAGE(OFFSET($H$3,0,0,'Données projet'!$E$10+1,1))</f>
        <v>207.02306964567629</v>
      </c>
      <c r="AO17" s="59">
        <f t="shared" si="36"/>
        <v>342.06887933351783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1.7199894463114866</v>
      </c>
      <c r="AW17" s="21">
        <f>EXP(-LN(2)/2)*AW16+(1-EXP(-LN(2)/2))/(LN(2)/2)*AQ17*AT17*VLOOKUP('Données projet'!$B$10,Paramètres!$A$1:$I$89,3,0)*0.475*44/12</f>
        <v>5.1928702093753838</v>
      </c>
      <c r="AX17" s="21">
        <f t="shared" si="6"/>
        <v>6.9128596556868702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</v>
      </c>
      <c r="BD17" s="12">
        <f>IF('Données projet'!$A$88&gt;35,BD16+BC17-BL16,IF(A17&lt;'Données projet'!$A$88,$BA$205^A17,IF(A17='Données projet'!$A$88,'Données projet'!$B$88,BD16+BC17-BL16)))</f>
        <v>47.722851206524417</v>
      </c>
      <c r="BE17" s="13">
        <f>BD17*VLOOKUP('Données projet'!$B$11,Paramètres!$A$1:$I$89,3,0)*VLOOKUP('Données projet'!$B$11,Paramètres!$A$1:$I$89,5,0)</f>
        <v>22.334294364653427</v>
      </c>
      <c r="BF17" s="13">
        <f t="shared" si="37"/>
        <v>7.1697486759177922</v>
      </c>
      <c r="BG17" s="20">
        <f t="shared" si="7"/>
        <v>51.38620829566154</v>
      </c>
      <c r="BH17" s="59">
        <f t="shared" si="8"/>
        <v>325.16398607343933</v>
      </c>
      <c r="BI17" s="59">
        <f ca="1">AVERAGE(OFFSET($BH$3,0,0,'Données projet'!$E$11+1,1))-AVERAGE(OFFSET($H$3,0,0,'Données projet'!$E$11+1,1))</f>
        <v>345.45636360520137</v>
      </c>
      <c r="BJ17" s="59">
        <f t="shared" si="38"/>
        <v>469.30074822262549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189</v>
      </c>
      <c r="L18" s="12">
        <f>VLOOKUP(A18,'Données projet'!$A$35:$I$55,9,0)</f>
        <v>12.6</v>
      </c>
      <c r="M18" s="12">
        <f t="array" ref="M18">INDEX(L:L,MIN(IF(ISNUMBER(L18:L214),ROW(L18:L214),"")))</f>
        <v>12.6</v>
      </c>
      <c r="N18" s="13">
        <f>IF('Données projet'!$A$36&gt;35,N17+M18-V17,IF(A18&lt;'Données projet'!$A$36,$K$205^A18,IF(A18='Données projet'!$A$36,'Données projet'!$B$36,N17+M18-V17)))</f>
        <v>189</v>
      </c>
      <c r="O18" s="13">
        <f>N18*VLOOKUP('Données projet'!$B$9,Paramètres!$A$1:$I$89,3,0)*VLOOKUP('Données projet'!$B$9,Paramètres!$A$1:$I$89,5,0)</f>
        <v>105.651</v>
      </c>
      <c r="P18" s="13">
        <f t="shared" si="33"/>
        <v>28.303933062831547</v>
      </c>
      <c r="Q18" s="20">
        <f t="shared" si="2"/>
        <v>233.30484175109825</v>
      </c>
      <c r="R18" s="59">
        <f t="shared" si="0"/>
        <v>508.30484175109825</v>
      </c>
      <c r="S18" s="59">
        <f ca="1">AVERAGE(OFFSET($R$3,0,0,'Données projet'!$E$9+1,1))-AVERAGE(OFFSET($H$3,0,0,'Données projet'!$E$9+1,1))</f>
        <v>534.78683721545372</v>
      </c>
      <c r="T18" s="59">
        <f t="shared" si="34"/>
        <v>710.59298755711075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168</v>
      </c>
      <c r="AG18" s="12">
        <f>VLOOKUP(A18,'Données projet'!$A$61:$I$81,9,0)</f>
        <v>24.333333333333332</v>
      </c>
      <c r="AH18" s="12">
        <f t="array" ref="AH18">INDEX(AG:AG,MIN(IF(ISNUMBER(AG18:AG214),ROW(AG18:AG214),"")))</f>
        <v>24.333333333333332</v>
      </c>
      <c r="AI18" s="13">
        <f>IF('Données projet'!$A$62&gt;35,AI17+AH18-AQ17,IF(A18&lt;'Données projet'!$A$62,$AF$205^A18,IF(A18='Données projet'!$A$62,'Données projet'!$B$62,AI17+AH18-AQ17)))</f>
        <v>168.00000000000003</v>
      </c>
      <c r="AJ18" s="13">
        <f>AI18*VLOOKUP('Données projet'!$B$10,Paramètres!$A$1:$I$89,3,0)*VLOOKUP('Données projet'!$B$10,Paramètres!$A$1:$I$89,5,0)</f>
        <v>91.728000000000009</v>
      </c>
      <c r="AK18" s="13">
        <f t="shared" si="35"/>
        <v>24.981514582386563</v>
      </c>
      <c r="AL18" s="20">
        <f t="shared" si="4"/>
        <v>203.26907123098991</v>
      </c>
      <c r="AM18" s="59">
        <f t="shared" si="5"/>
        <v>478.26907123098988</v>
      </c>
      <c r="AN18" s="59">
        <f ca="1">AVERAGE(OFFSET($AM$3,0,0,'Données projet'!$E$10+1,1))-AVERAGE(OFFSET($H$3,0,0,'Données projet'!$E$10+1,1))</f>
        <v>207.02306964567629</v>
      </c>
      <c r="AO18" s="59">
        <f t="shared" si="36"/>
        <v>342.06887933351783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47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0.12</v>
      </c>
      <c r="AT18" s="16">
        <f>IF(ISNA(VLOOKUP(A18,'Données projet'!$A$61:$I$81,7,0)),0%,VLOOKUP(A18,'Données projet'!$A$61:$I$81,7,0))</f>
        <v>0.8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5.7419473917537758</v>
      </c>
      <c r="AW18" s="21">
        <f>EXP(-LN(2)/2)*AW17+(1-EXP(-LN(2)/2))/(LN(2)/2)*AQ18*AT18*VLOOKUP('Données projet'!$B$10,Paramètres!$A$1:$I$89,3,0)*0.475*44/12</f>
        <v>26.916189914170275</v>
      </c>
      <c r="AX18" s="21">
        <f t="shared" si="6"/>
        <v>32.658137305924051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8</v>
      </c>
      <c r="BD18" s="12">
        <f>IF('Données projet'!$A$88&gt;35,BD17+BC18-BL17,IF(A18&lt;'Données projet'!$A$88,$BA$205^A18,IF(A18='Données projet'!$A$88,'Données projet'!$B$88,BD17+BC18-BL17)))</f>
        <v>62.897793461013542</v>
      </c>
      <c r="BE18" s="13">
        <f>BD18*VLOOKUP('Données projet'!$B$11,Paramètres!$A$1:$I$89,3,0)*VLOOKUP('Données projet'!$B$11,Paramètres!$A$1:$I$89,5,0)</f>
        <v>29.436167339754334</v>
      </c>
      <c r="BF18" s="13">
        <f t="shared" si="37"/>
        <v>9.1507259476872189</v>
      </c>
      <c r="BG18" s="20">
        <f t="shared" si="7"/>
        <v>67.205505808960694</v>
      </c>
      <c r="BH18" s="59">
        <f t="shared" si="8"/>
        <v>342.20550580896071</v>
      </c>
      <c r="BI18" s="59">
        <f ca="1">AVERAGE(OFFSET($BH$3,0,0,'Données projet'!$E$11+1,1))-AVERAGE(OFFSET($H$3,0,0,'Données projet'!$E$11+1,1))</f>
        <v>345.45636360520137</v>
      </c>
      <c r="BJ18" s="59">
        <f t="shared" si="38"/>
        <v>469.30074822262549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28.4</v>
      </c>
      <c r="N19" s="13">
        <f>IF('Données projet'!$A$36&gt;35,N18+M19-V18,IF(A19&lt;'Données projet'!$A$36,$K$205^A19,IF(A19='Données projet'!$A$36,'Données projet'!$B$36,N18+M19-V18)))</f>
        <v>217.4</v>
      </c>
      <c r="O19" s="13">
        <f>N19*VLOOKUP('Données projet'!$B$9,Paramètres!$A$1:$I$89,3,0)*VLOOKUP('Données projet'!$B$9,Paramètres!$A$1:$I$89,5,0)</f>
        <v>121.5266</v>
      </c>
      <c r="P19" s="13">
        <f t="shared" si="33"/>
        <v>32.030791291183803</v>
      </c>
      <c r="Q19" s="20">
        <f t="shared" si="2"/>
        <v>267.44578983214518</v>
      </c>
      <c r="R19" s="59">
        <f t="shared" si="0"/>
        <v>543.66801205436741</v>
      </c>
      <c r="S19" s="59">
        <f ca="1">AVERAGE(OFFSET($R$3,0,0,'Données projet'!$E$9+1,1))-AVERAGE(OFFSET($H$3,0,0,'Données projet'!$E$9+1,1))</f>
        <v>534.78683721545372</v>
      </c>
      <c r="T19" s="59">
        <f t="shared" si="34"/>
        <v>710.59298755711075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21.333333333333332</v>
      </c>
      <c r="AI19" s="13">
        <f>IF('Données projet'!$A$62&gt;35,AI18+AH19-AQ18,IF(A19&lt;'Données projet'!$A$62,$AF$205^A19,IF(A19='Données projet'!$A$62,'Données projet'!$B$62,AI18+AH19-AQ18)))</f>
        <v>142.33333333333337</v>
      </c>
      <c r="AJ19" s="13">
        <f>AI19*VLOOKUP('Données projet'!$B$10,Paramètres!$A$1:$I$89,3,0)*VLOOKUP('Données projet'!$B$10,Paramètres!$A$1:$I$89,5,0)</f>
        <v>77.714000000000027</v>
      </c>
      <c r="AK19" s="13">
        <f t="shared" si="35"/>
        <v>21.577305655991772</v>
      </c>
      <c r="AL19" s="20">
        <f t="shared" si="4"/>
        <v>172.93235735085239</v>
      </c>
      <c r="AM19" s="59">
        <f t="shared" si="5"/>
        <v>449.15457957307461</v>
      </c>
      <c r="AN19" s="59">
        <f ca="1">AVERAGE(OFFSET($AM$3,0,0,'Données projet'!$E$10+1,1))-AVERAGE(OFFSET($H$3,0,0,'Données projet'!$E$10+1,1))</f>
        <v>207.02306964567629</v>
      </c>
      <c r="AO19" s="59">
        <f t="shared" si="36"/>
        <v>342.06887933351783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5.5849335383703789</v>
      </c>
      <c r="AW19" s="21">
        <f>EXP(-LN(2)/2)*AW18+(1-EXP(-LN(2)/2))/(LN(2)/2)*AQ19*AT19*VLOOKUP('Données projet'!$B$10,Paramètres!$A$1:$I$89,3,0)*0.475*44/12</f>
        <v>19.032620412014758</v>
      </c>
      <c r="AX19" s="21">
        <f t="shared" si="6"/>
        <v>24.617553950385137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</v>
      </c>
      <c r="BD19" s="12">
        <f>IF('Données projet'!$A$88&gt;35,BD18+BC19-BL18,IF(A19&lt;'Données projet'!$A$88,$BA$205^A19,IF(A19='Données projet'!$A$88,'Données projet'!$B$88,BD18+BC19-BL18)))</f>
        <v>82.898073401856081</v>
      </c>
      <c r="BE19" s="13">
        <f>BD19*VLOOKUP('Données projet'!$B$11,Paramètres!$A$1:$I$89,3,0)*VLOOKUP('Données projet'!$B$11,Paramètres!$A$1:$I$89,5,0)</f>
        <v>38.796298352068646</v>
      </c>
      <c r="BF19" s="13">
        <f t="shared" si="37"/>
        <v>11.679040529123872</v>
      </c>
      <c r="BG19" s="20">
        <f t="shared" si="7"/>
        <v>87.911215218076961</v>
      </c>
      <c r="BH19" s="59">
        <f t="shared" si="8"/>
        <v>364.13343744029919</v>
      </c>
      <c r="BI19" s="59">
        <f ca="1">AVERAGE(OFFSET($BH$3,0,0,'Données projet'!$E$11+1,1))-AVERAGE(OFFSET($H$3,0,0,'Données projet'!$E$11+1,1))</f>
        <v>345.45636360520137</v>
      </c>
      <c r="BJ19" s="59">
        <f t="shared" si="38"/>
        <v>469.30074822262549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28.4</v>
      </c>
      <c r="N20" s="13">
        <f>IF('Données projet'!$A$36&gt;35,N19+M20-V19,IF(A20&lt;'Données projet'!$A$36,$K$205^A20,IF(A20='Données projet'!$A$36,'Données projet'!$B$36,N19+M20-V19)))</f>
        <v>245.8</v>
      </c>
      <c r="O20" s="13">
        <f>N20*VLOOKUP('Données projet'!$B$9,Paramètres!$A$1:$I$89,3,0)*VLOOKUP('Données projet'!$B$9,Paramètres!$A$1:$I$89,5,0)</f>
        <v>137.40220000000002</v>
      </c>
      <c r="P20" s="13">
        <f t="shared" si="33"/>
        <v>35.701238817612946</v>
      </c>
      <c r="Q20" s="20">
        <f t="shared" si="2"/>
        <v>301.48848927400928</v>
      </c>
      <c r="R20" s="59">
        <f t="shared" si="0"/>
        <v>578.9329337184538</v>
      </c>
      <c r="S20" s="59">
        <f ca="1">AVERAGE(OFFSET($R$3,0,0,'Données projet'!$E$9+1,1))-AVERAGE(OFFSET($H$3,0,0,'Données projet'!$E$9+1,1))</f>
        <v>534.78683721545372</v>
      </c>
      <c r="T20" s="59">
        <f t="shared" si="34"/>
        <v>710.59298755711075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21.333333333333332</v>
      </c>
      <c r="AI20" s="13">
        <f>IF('Données projet'!$A$62&gt;35,AI19+AH20-AQ19,IF(A20&lt;'Données projet'!$A$62,$AF$205^A20,IF(A20='Données projet'!$A$62,'Données projet'!$B$62,AI19+AH20-AQ19)))</f>
        <v>163.66666666666671</v>
      </c>
      <c r="AJ20" s="13">
        <f>AI20*VLOOKUP('Données projet'!$B$10,Paramètres!$A$1:$I$89,3,0)*VLOOKUP('Données projet'!$B$10,Paramètres!$A$1:$I$89,5,0)</f>
        <v>89.362000000000037</v>
      </c>
      <c r="AK20" s="13">
        <f t="shared" si="35"/>
        <v>24.411291106060958</v>
      </c>
      <c r="AL20" s="20">
        <f t="shared" si="4"/>
        <v>198.15514867638956</v>
      </c>
      <c r="AM20" s="59">
        <f t="shared" si="5"/>
        <v>475.59959312083402</v>
      </c>
      <c r="AN20" s="59">
        <f ca="1">AVERAGE(OFFSET($AM$3,0,0,'Données projet'!$E$10+1,1))-AVERAGE(OFFSET($H$3,0,0,'Données projet'!$E$10+1,1))</f>
        <v>207.02306964567629</v>
      </c>
      <c r="AO20" s="59">
        <f t="shared" si="36"/>
        <v>342.06887933351783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5.4322132370647509</v>
      </c>
      <c r="AW20" s="21">
        <f>EXP(-LN(2)/2)*AW19+(1-EXP(-LN(2)/2))/(LN(2)/2)*AQ20*AT20*VLOOKUP('Données projet'!$B$10,Paramètres!$A$1:$I$89,3,0)*0.475*44/12</f>
        <v>13.458094957085139</v>
      </c>
      <c r="AX20" s="21">
        <f t="shared" si="6"/>
        <v>18.890308194149888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</v>
      </c>
      <c r="BD20" s="12">
        <f>IF('Données projet'!$A$88&gt;35,BD19+BC20-BL19,IF(A20&lt;'Données projet'!$A$88,$BA$205^A20,IF(A20='Données projet'!$A$88,'Données projet'!$B$88,BD19+BC20-BL19)))</f>
        <v>109.25805494272393</v>
      </c>
      <c r="BE20" s="13">
        <f>BD20*VLOOKUP('Données projet'!$B$11,Paramètres!$A$1:$I$89,3,0)*VLOOKUP('Données projet'!$B$11,Paramètres!$A$1:$I$89,5,0)</f>
        <v>51.132769713194797</v>
      </c>
      <c r="BF20" s="13">
        <f t="shared" si="37"/>
        <v>14.905919864794134</v>
      </c>
      <c r="BG20" s="20">
        <f t="shared" si="7"/>
        <v>115.01738434833072</v>
      </c>
      <c r="BH20" s="59">
        <f t="shared" si="8"/>
        <v>392.46182879277518</v>
      </c>
      <c r="BI20" s="59">
        <f ca="1">AVERAGE(OFFSET($BH$3,0,0,'Données projet'!$E$11+1,1))-AVERAGE(OFFSET($H$3,0,0,'Données projet'!$E$11+1,1))</f>
        <v>345.45636360520137</v>
      </c>
      <c r="BJ20" s="59">
        <f t="shared" si="38"/>
        <v>469.30074822262549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28.4</v>
      </c>
      <c r="N21" s="13">
        <f>IF('Données projet'!$A$36&gt;35,N20+M21-V20,IF(A21&lt;'Données projet'!$A$36,$K$205^A21,IF(A21='Données projet'!$A$36,'Données projet'!$B$36,N20+M21-V20)))</f>
        <v>274.2</v>
      </c>
      <c r="O21" s="13">
        <f>N21*VLOOKUP('Données projet'!$B$9,Paramètres!$A$1:$I$89,3,0)*VLOOKUP('Données projet'!$B$9,Paramètres!$A$1:$I$89,5,0)</f>
        <v>153.27779999999998</v>
      </c>
      <c r="P21" s="13">
        <f t="shared" si="33"/>
        <v>39.32253770530393</v>
      </c>
      <c r="Q21" s="20">
        <f t="shared" si="2"/>
        <v>335.44558817007095</v>
      </c>
      <c r="R21" s="59">
        <f t="shared" si="0"/>
        <v>614.11225483673763</v>
      </c>
      <c r="S21" s="59">
        <f ca="1">AVERAGE(OFFSET($R$3,0,0,'Données projet'!$E$9+1,1))-AVERAGE(OFFSET($H$3,0,0,'Données projet'!$E$9+1,1))</f>
        <v>534.78683721545372</v>
      </c>
      <c r="T21" s="59">
        <f t="shared" si="34"/>
        <v>710.59298755711075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185</v>
      </c>
      <c r="AG21" s="12">
        <f>VLOOKUP(A21,'Données projet'!$A$61:$I$81,9,0)</f>
        <v>21.333333333333332</v>
      </c>
      <c r="AH21" s="12">
        <f t="array" ref="AH21">INDEX(AG:AG,MIN(IF(ISNUMBER(AG21:AG217),ROW(AG21:AG217),"")))</f>
        <v>21.333333333333332</v>
      </c>
      <c r="AI21" s="13">
        <f>IF('Données projet'!$A$62&gt;35,AI20+AH21-AQ20,IF(A21&lt;'Données projet'!$A$62,$AF$205^A21,IF(A21='Données projet'!$A$62,'Données projet'!$B$62,AI20+AH21-AQ20)))</f>
        <v>185.00000000000006</v>
      </c>
      <c r="AJ21" s="13">
        <f>AI21*VLOOKUP('Données projet'!$B$10,Paramètres!$A$1:$I$89,3,0)*VLOOKUP('Données projet'!$B$10,Paramètres!$A$1:$I$89,5,0)</f>
        <v>101.01000000000002</v>
      </c>
      <c r="AK21" s="13">
        <f t="shared" si="35"/>
        <v>27.202475209169602</v>
      </c>
      <c r="AL21" s="20">
        <f t="shared" si="4"/>
        <v>223.30339432263705</v>
      </c>
      <c r="AM21" s="59">
        <f t="shared" si="5"/>
        <v>501.97006098930376</v>
      </c>
      <c r="AN21" s="59">
        <f ca="1">AVERAGE(OFFSET($AM$3,0,0,'Données projet'!$E$10+1,1))-AVERAGE(OFFSET($H$3,0,0,'Données projet'!$E$10+1,1))</f>
        <v>207.02306964567629</v>
      </c>
      <c r="AO21" s="59">
        <f t="shared" si="36"/>
        <v>342.06887933351783</v>
      </c>
      <c r="AP21" s="15">
        <f>IF(ISNA(VLOOKUP(A21,'Données projet'!$A$61:$I$81,3,0)),0,VLOOKUP(A21,'Données projet'!$A$61:$I$81,3,0))</f>
        <v>3</v>
      </c>
      <c r="AQ21" s="15">
        <f>IF(ISNA(VLOOKUP(A21,'Données projet'!$A$61:$I$81,4,0)),0,VLOOKUP(A21,'Données projet'!$A$61:$I$81,4,0))</f>
        <v>61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0.24</v>
      </c>
      <c r="AT21" s="16">
        <f>IF(ISNA(VLOOKUP(A21,'Données projet'!$A$61:$I$81,7,0)),0%,VLOOKUP(A21,'Données projet'!$A$61:$I$81,7,0))</f>
        <v>0.6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15.845731207468747</v>
      </c>
      <c r="AW21" s="21">
        <f>EXP(-LN(2)/2)*AW20+(1-EXP(-LN(2)/2))/(LN(2)/2)*AQ21*AT21*VLOOKUP('Données projet'!$B$10,Paramètres!$A$1:$I$89,3,0)*0.475*44/12</f>
        <v>32.142387546857265</v>
      </c>
      <c r="AX21" s="21">
        <f t="shared" si="6"/>
        <v>47.98811875432601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144</v>
      </c>
      <c r="BB21" s="12">
        <f>VLOOKUP(A21,'Données projet'!$A$87:$I$107,9,0)</f>
        <v>8</v>
      </c>
      <c r="BC21" s="12">
        <f t="array" ref="BC21">INDEX(BB:BB,MIN(IF(ISNUMBER(BB21:BB217),ROW(BB21:BB217),"")))</f>
        <v>8</v>
      </c>
      <c r="BD21" s="12">
        <f>IF('Données projet'!$A$88&gt;35,BD20+BC21-BL20,IF(A21&lt;'Données projet'!$A$88,$BA$205^A21,IF(A21='Données projet'!$A$88,'Données projet'!$B$88,BD20+BC21-BL20)))</f>
        <v>144</v>
      </c>
      <c r="BE21" s="13">
        <f>BD21*VLOOKUP('Données projet'!$B$11,Paramètres!$A$1:$I$89,3,0)*VLOOKUP('Données projet'!$B$11,Paramètres!$A$1:$I$89,5,0)</f>
        <v>67.391999999999996</v>
      </c>
      <c r="BF21" s="13">
        <f t="shared" si="37"/>
        <v>19.02437502991798</v>
      </c>
      <c r="BG21" s="20">
        <f t="shared" si="7"/>
        <v>150.5085198437738</v>
      </c>
      <c r="BH21" s="59">
        <f t="shared" si="8"/>
        <v>429.17518651044048</v>
      </c>
      <c r="BI21" s="59">
        <f ca="1">AVERAGE(OFFSET($BH$3,0,0,'Données projet'!$E$11+1,1))-AVERAGE(OFFSET($H$3,0,0,'Données projet'!$E$11+1,1))</f>
        <v>345.45636360520137</v>
      </c>
      <c r="BJ21" s="59">
        <f t="shared" si="38"/>
        <v>469.30074822262549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48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28.4</v>
      </c>
      <c r="N22" s="13">
        <f>IF('Données projet'!$A$36&gt;35,N21+M22-V21,IF(A22&lt;'Données projet'!$A$36,$K$205^A22,IF(A22='Données projet'!$A$36,'Données projet'!$B$36,N21+M22-V21)))</f>
        <v>302.59999999999997</v>
      </c>
      <c r="O22" s="13">
        <f>N22*VLOOKUP('Données projet'!$B$9,Paramètres!$A$1:$I$89,3,0)*VLOOKUP('Données projet'!$B$9,Paramètres!$A$1:$I$89,5,0)</f>
        <v>169.1534</v>
      </c>
      <c r="P22" s="13">
        <f t="shared" si="33"/>
        <v>42.900358290021551</v>
      </c>
      <c r="Q22" s="20">
        <f t="shared" si="2"/>
        <v>369.32696235512088</v>
      </c>
      <c r="R22" s="59">
        <f t="shared" si="0"/>
        <v>649.21585124400974</v>
      </c>
      <c r="S22" s="59">
        <f ca="1">AVERAGE(OFFSET($R$3,0,0,'Données projet'!$E$9+1,1))-AVERAGE(OFFSET($H$3,0,0,'Données projet'!$E$9+1,1))</f>
        <v>534.78683721545372</v>
      </c>
      <c r="T22" s="59">
        <f t="shared" si="34"/>
        <v>710.59298755711075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19.166666666666668</v>
      </c>
      <c r="AI22" s="13">
        <f>IF('Données projet'!$A$62&gt;35,AI21+AH22-AQ21,IF(A22&lt;'Données projet'!$A$62,$AF$205^A22,IF(A22='Données projet'!$A$62,'Données projet'!$B$62,AI21+AH22-AQ21)))</f>
        <v>143.16666666666671</v>
      </c>
      <c r="AJ22" s="13">
        <f>AI22*VLOOKUP('Données projet'!$B$10,Paramètres!$A$1:$I$89,3,0)*VLOOKUP('Données projet'!$B$10,Paramètres!$A$1:$I$89,5,0)</f>
        <v>78.169000000000025</v>
      </c>
      <c r="AK22" s="13">
        <f t="shared" si="35"/>
        <v>21.688893622970639</v>
      </c>
      <c r="AL22" s="20">
        <f t="shared" si="4"/>
        <v>173.9191647266739</v>
      </c>
      <c r="AM22" s="59">
        <f t="shared" si="5"/>
        <v>453.80805361556276</v>
      </c>
      <c r="AN22" s="59">
        <f ca="1">AVERAGE(OFFSET($AM$3,0,0,'Données projet'!$E$10+1,1))-AVERAGE(OFFSET($H$3,0,0,'Données projet'!$E$10+1,1))</f>
        <v>207.02306964567629</v>
      </c>
      <c r="AO22" s="59">
        <f t="shared" si="36"/>
        <v>342.06887933351783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15.412428854309725</v>
      </c>
      <c r="AW22" s="21">
        <f>EXP(-LN(2)/2)*AW21+(1-EXP(-LN(2)/2))/(LN(2)/2)*AQ22*AT22*VLOOKUP('Données projet'!$B$10,Paramètres!$A$1:$I$89,3,0)*0.475*44/12</f>
        <v>22.728100197908812</v>
      </c>
      <c r="AX22" s="21">
        <f t="shared" si="6"/>
        <v>38.14052905221854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35</v>
      </c>
      <c r="BD22" s="12">
        <f>IF('Données projet'!$A$88&gt;35,BD21+BC22-BL21,IF(A22&lt;'Données projet'!$A$88,$BA$205^A22,IF(A22='Données projet'!$A$88,'Données projet'!$B$88,BD21+BC22-BL21)))</f>
        <v>131</v>
      </c>
      <c r="BE22" s="13">
        <f>BD22*VLOOKUP('Données projet'!$B$11,Paramètres!$A$1:$I$89,3,0)*VLOOKUP('Données projet'!$B$11,Paramètres!$A$1:$I$89,5,0)</f>
        <v>61.308</v>
      </c>
      <c r="BF22" s="13">
        <f t="shared" si="37"/>
        <v>17.498556232826882</v>
      </c>
      <c r="BG22" s="20">
        <f t="shared" si="7"/>
        <v>137.25475210550681</v>
      </c>
      <c r="BH22" s="59">
        <f t="shared" si="8"/>
        <v>417.1436409943957</v>
      </c>
      <c r="BI22" s="59">
        <f ca="1">AVERAGE(OFFSET($BH$3,0,0,'Données projet'!$E$11+1,1))-AVERAGE(OFFSET($H$3,0,0,'Données projet'!$E$11+1,1))</f>
        <v>345.45636360520137</v>
      </c>
      <c r="BJ22" s="59">
        <f t="shared" si="38"/>
        <v>469.30074822262549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331</v>
      </c>
      <c r="L23" s="12">
        <f>VLOOKUP(A23,'Données projet'!$A$35:$I$55,9,0)</f>
        <v>28.4</v>
      </c>
      <c r="M23" s="12">
        <f t="array" ref="M23">INDEX(L:L,MIN(IF(ISNUMBER(L23:L219),ROW(L23:L219),"")))</f>
        <v>28.4</v>
      </c>
      <c r="N23" s="13">
        <f>IF('Données projet'!$A$36&gt;35,N22+M23-V22,IF(A23&lt;'Données projet'!$A$36,$K$205^A23,IF(A23='Données projet'!$A$36,'Données projet'!$B$36,N22+M23-V22)))</f>
        <v>330.99999999999994</v>
      </c>
      <c r="O23" s="13">
        <f>N23*VLOOKUP('Données projet'!$B$9,Paramètres!$A$1:$I$89,3,0)*VLOOKUP('Données projet'!$B$9,Paramètres!$A$1:$I$89,5,0)</f>
        <v>185.029</v>
      </c>
      <c r="P23" s="13">
        <f t="shared" si="33"/>
        <v>46.439245338703373</v>
      </c>
      <c r="Q23" s="20">
        <f t="shared" si="2"/>
        <v>403.14052729824169</v>
      </c>
      <c r="R23" s="59">
        <f t="shared" si="0"/>
        <v>684.25163840935284</v>
      </c>
      <c r="S23" s="59">
        <f ca="1">AVERAGE(OFFSET($R$3,0,0,'Données projet'!$E$9+1,1))-AVERAGE(OFFSET($H$3,0,0,'Données projet'!$E$9+1,1))</f>
        <v>534.78683721545372</v>
      </c>
      <c r="T23" s="59">
        <f t="shared" si="34"/>
        <v>710.59298755711075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11</v>
      </c>
      <c r="W23" s="16">
        <f>IF(ISNA(VLOOKUP(A23,'Données projet'!$A$35:$I$55,5,0)),0%,VLOOKUP(A23,'Données projet'!$A$35:$I$55,5,0)*VLOOKUP('Données projet'!$B$9,Paramètres!$A$1:$I$89,7,0))</f>
        <v>5.5000000000000007E-2</v>
      </c>
      <c r="X23" s="16">
        <f>IF(ISNA(VLOOKUP(A23,'Données projet'!$A$35:$I$55,6,0)),0%,VLOOKUP(A23,'Données projet'!$A$35:$I$55,6,0)*VLOOKUP('Données projet'!$B$9,Paramètres!$A$1:$I$89,7,0))</f>
        <v>0.22000000000000003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0.44863746600737547</v>
      </c>
      <c r="AA23" s="21">
        <f>EXP(-LN(2)/25)*AA22+(1-EXP(-LN(2)/25))/(LN(2)/25)*Calculateur!V23*Calculateur!X23*VLOOKUP('Données projet'!$B$9,Paramètres!$A$1:$I$89,3,0)*0.475*44/12</f>
        <v>1.7874840374377119</v>
      </c>
      <c r="AB23" s="21">
        <f>EXP(-LN(2)/2)*AB22+(1-EXP(-LN(2)/2))/(LN(2)/2)*V23*Y23*VLOOKUP('Données projet'!$B$9,Paramètres!$A$1:$I$89,3,0)*0.475*44/12</f>
        <v>0</v>
      </c>
      <c r="AC23" s="22">
        <f t="shared" si="3"/>
        <v>2.2361215034450872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19.166666666666668</v>
      </c>
      <c r="AI23" s="13">
        <f>IF('Données projet'!$A$62&gt;35,AI22+AH23-AQ22,IF(A23&lt;'Données projet'!$A$62,$AF$205^A23,IF(A23='Données projet'!$A$62,'Données projet'!$B$62,AI22+AH23-AQ22)))</f>
        <v>162.33333333333337</v>
      </c>
      <c r="AJ23" s="13">
        <f>AI23*VLOOKUP('Données projet'!$B$10,Paramètres!$A$1:$I$89,3,0)*VLOOKUP('Données projet'!$B$10,Paramètres!$A$1:$I$89,5,0)</f>
        <v>88.634000000000015</v>
      </c>
      <c r="AK23" s="13">
        <f t="shared" si="35"/>
        <v>24.235486014796273</v>
      </c>
      <c r="AL23" s="20">
        <f t="shared" si="4"/>
        <v>196.58102147577017</v>
      </c>
      <c r="AM23" s="59">
        <f t="shared" si="5"/>
        <v>477.69213258688131</v>
      </c>
      <c r="AN23" s="59">
        <f ca="1">AVERAGE(OFFSET($AM$3,0,0,'Données projet'!$E$10+1,1))-AVERAGE(OFFSET($H$3,0,0,'Données projet'!$E$10+1,1))</f>
        <v>207.02306964567629</v>
      </c>
      <c r="AO23" s="59">
        <f t="shared" si="36"/>
        <v>342.06887933351783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14.990975176784218</v>
      </c>
      <c r="AW23" s="21">
        <f>EXP(-LN(2)/2)*AW22+(1-EXP(-LN(2)/2))/(LN(2)/2)*AQ23*AT23*VLOOKUP('Données projet'!$B$10,Paramètres!$A$1:$I$89,3,0)*0.475*44/12</f>
        <v>16.071193773428636</v>
      </c>
      <c r="AX23" s="21">
        <f t="shared" si="6"/>
        <v>31.062168950212854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35</v>
      </c>
      <c r="BD23" s="12">
        <f>IF('Données projet'!$A$88&gt;35,BD22+BC23-BL22,IF(A23&lt;'Données projet'!$A$88,$BA$205^A23,IF(A23='Données projet'!$A$88,'Données projet'!$B$88,BD22+BC23-BL22)))</f>
        <v>166</v>
      </c>
      <c r="BE23" s="13">
        <f>BD23*VLOOKUP('Données projet'!$B$11,Paramètres!$A$1:$I$89,3,0)*VLOOKUP('Données projet'!$B$11,Paramètres!$A$1:$I$89,5,0)</f>
        <v>77.688000000000002</v>
      </c>
      <c r="BF23" s="13">
        <f t="shared" si="37"/>
        <v>21.570926907728207</v>
      </c>
      <c r="BG23" s="20">
        <f t="shared" si="7"/>
        <v>172.87596436429328</v>
      </c>
      <c r="BH23" s="59">
        <f t="shared" si="8"/>
        <v>453.98707547540442</v>
      </c>
      <c r="BI23" s="59">
        <f ca="1">AVERAGE(OFFSET($BH$3,0,0,'Données projet'!$E$11+1,1))-AVERAGE(OFFSET($H$3,0,0,'Données projet'!$E$11+1,1))</f>
        <v>345.45636360520137</v>
      </c>
      <c r="BJ23" s="59">
        <f t="shared" si="38"/>
        <v>469.30074822262549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29.8</v>
      </c>
      <c r="N24" s="13">
        <f>IF('Données projet'!$A$36&gt;35,N23+M24-V23,IF(A24&lt;'Données projet'!$A$36,$K$205^A24,IF(A24='Données projet'!$A$36,'Données projet'!$B$36,N23+M24-V23)))</f>
        <v>349.79999999999995</v>
      </c>
      <c r="O24" s="13">
        <f>N24*VLOOKUP('Données projet'!$B$9,Paramètres!$A$1:$I$89,3,0)*VLOOKUP('Données projet'!$B$9,Paramètres!$A$1:$I$89,5,0)</f>
        <v>195.53819999999999</v>
      </c>
      <c r="P24" s="13">
        <f t="shared" si="33"/>
        <v>48.762315280106222</v>
      </c>
      <c r="Q24" s="20">
        <f t="shared" si="2"/>
        <v>425.4900641128516</v>
      </c>
      <c r="R24" s="59">
        <f t="shared" si="0"/>
        <v>707.82339744618491</v>
      </c>
      <c r="S24" s="59">
        <f ca="1">AVERAGE(OFFSET($R$3,0,0,'Données projet'!$E$9+1,1))-AVERAGE(OFFSET($H$3,0,0,'Données projet'!$E$9+1,1))</f>
        <v>534.78683721545372</v>
      </c>
      <c r="T24" s="59">
        <f t="shared" si="34"/>
        <v>710.59298755711075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0.43983995894080524</v>
      </c>
      <c r="AA24" s="21">
        <f>EXP(-LN(2)/25)*AA23+(1-EXP(-LN(2)/25))/(LN(2)/25)*Calculateur!V24*Calculateur!X24*VLOOKUP('Données projet'!$B$9,Paramètres!$A$1:$I$89,3,0)*0.475*44/12</f>
        <v>1.7386051924342776</v>
      </c>
      <c r="AB24" s="21">
        <f>EXP(-LN(2)/2)*AB23+(1-EXP(-LN(2)/2))/(LN(2)/2)*V24*Y24*VLOOKUP('Données projet'!$B$9,Paramètres!$A$1:$I$89,3,0)*0.475*44/12</f>
        <v>0</v>
      </c>
      <c r="AC24" s="22">
        <f t="shared" si="3"/>
        <v>2.1784451513750827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19.166666666666668</v>
      </c>
      <c r="AI24" s="13">
        <f>IF('Données projet'!$A$62&gt;35,AI23+AH24-AQ23,IF(A24&lt;'Données projet'!$A$62,$AF$205^A24,IF(A24='Données projet'!$A$62,'Données projet'!$B$62,AI23+AH24-AQ23)))</f>
        <v>181.50000000000003</v>
      </c>
      <c r="AJ24" s="13">
        <f>AI24*VLOOKUP('Données projet'!$B$10,Paramètres!$A$1:$I$89,3,0)*VLOOKUP('Données projet'!$B$10,Paramètres!$A$1:$I$89,5,0)</f>
        <v>99.099000000000004</v>
      </c>
      <c r="AK24" s="13">
        <f t="shared" si="35"/>
        <v>26.747233784597075</v>
      </c>
      <c r="AL24" s="20">
        <f t="shared" si="4"/>
        <v>219.18219050817322</v>
      </c>
      <c r="AM24" s="59">
        <f t="shared" si="5"/>
        <v>501.51552384150654</v>
      </c>
      <c r="AN24" s="59">
        <f ca="1">AVERAGE(OFFSET($AM$3,0,0,'Données projet'!$E$10+1,1))-AVERAGE(OFFSET($H$3,0,0,'Données projet'!$E$10+1,1))</f>
        <v>207.02306964567629</v>
      </c>
      <c r="AO24" s="59">
        <f t="shared" si="36"/>
        <v>342.06887933351783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14.581046172233931</v>
      </c>
      <c r="AW24" s="21">
        <f>EXP(-LN(2)/2)*AW23+(1-EXP(-LN(2)/2))/(LN(2)/2)*AQ24*AT24*VLOOKUP('Données projet'!$B$10,Paramètres!$A$1:$I$89,3,0)*0.475*44/12</f>
        <v>11.364050098954408</v>
      </c>
      <c r="AX24" s="21">
        <f t="shared" si="6"/>
        <v>25.945096271188341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>
        <f>VLOOKUP(A24,'Données projet'!$A$87:$I$107,2,0)</f>
        <v>201</v>
      </c>
      <c r="BB24" s="12">
        <f>VLOOKUP(A24,'Données projet'!$A$87:$I$107,9,0)</f>
        <v>35</v>
      </c>
      <c r="BC24" s="12">
        <f t="array" ref="BC24">INDEX(BB:BB,MIN(IF(ISNUMBER(BB24:BB220),ROW(BB24:BB220),"")))</f>
        <v>35</v>
      </c>
      <c r="BD24" s="12">
        <f>IF('Données projet'!$A$88&gt;35,BD23+BC24-BL23,IF(A24&lt;'Données projet'!$A$88,$BA$205^A24,IF(A24='Données projet'!$A$88,'Données projet'!$B$88,BD23+BC24-BL23)))</f>
        <v>201</v>
      </c>
      <c r="BE24" s="13">
        <f>BD24*VLOOKUP('Données projet'!$B$11,Paramètres!$A$1:$I$89,3,0)*VLOOKUP('Données projet'!$B$11,Paramètres!$A$1:$I$89,5,0)</f>
        <v>94.067999999999998</v>
      </c>
      <c r="BF24" s="13">
        <f t="shared" si="37"/>
        <v>25.543790108694029</v>
      </c>
      <c r="BG24" s="20">
        <f t="shared" si="7"/>
        <v>208.32386777264207</v>
      </c>
      <c r="BH24" s="59">
        <f t="shared" si="8"/>
        <v>490.65720110597539</v>
      </c>
      <c r="BI24" s="59">
        <f ca="1">AVERAGE(OFFSET($BH$3,0,0,'Données projet'!$E$11+1,1))-AVERAGE(OFFSET($H$3,0,0,'Données projet'!$E$11+1,1))</f>
        <v>345.45636360520137</v>
      </c>
      <c r="BJ24" s="59">
        <f t="shared" si="38"/>
        <v>469.30074822262549</v>
      </c>
      <c r="BK24" s="15">
        <f>IF(ISNA(VLOOKUP(A24,'Données projet'!$A$87:$I$107,3,0)),0,VLOOKUP(A24,'Données projet'!$A$87:$I$107,3,0))</f>
        <v>2</v>
      </c>
      <c r="BL24" s="15">
        <f>IF(ISNA(VLOOKUP(A24,'Données projet'!$A$87:$I$107,4,0)),0,VLOOKUP(A24,'Données projet'!$A$87:$I$107,4,0))</f>
        <v>45</v>
      </c>
      <c r="BM24" s="16">
        <f>IF(ISNA(VLOOKUP(A24,'Données projet'!$A$87:$I$107,5,0)),0%,VLOOKUP(A24,'Données projet'!$A$87:$I$107,5,0)*VLOOKUP('Données projet'!$B$11,Paramètres!$A$1:$I$89,7,0))</f>
        <v>0.11000000000000001</v>
      </c>
      <c r="BN24" s="16">
        <f>IF(ISNA(VLOOKUP(A24,'Données projet'!$A$87:$I$107,6,0)),0%,VLOOKUP(A24,'Données projet'!$A$87:$I$107,6,0)*VLOOKUP('Données projet'!$B$11,Paramètres!$A$1:$I$89,7,0))</f>
        <v>0.11000000000000001</v>
      </c>
      <c r="BO24" s="16">
        <f>IF(ISNA(VLOOKUP(A24,'Données projet'!$A$87:$I$107,7,0)),0%,VLOOKUP(A24,'Données projet'!$A$87:$I$107,7,0))</f>
        <v>0.6</v>
      </c>
      <c r="BP24" s="21">
        <f>EXP(-LN(2)/35)*BP23+(1-EXP(-LN(2)/35))/(LN(2)/35)*BL24*BM24*VLOOKUP('Données projet'!$B$11,Paramètres!$A$1:$I$89,3,0)*0.475*44/12</f>
        <v>3.073119217471239</v>
      </c>
      <c r="BQ24" s="21">
        <f>EXP(-LN(2)/25)*BQ23+(1-EXP(-LN(2)/25))/(LN(2)/25)*Calculateur!BL24*Calculateur!BN24*VLOOKUP('Données projet'!$B$11,Paramètres!$A$1:$I$89,3,0)*0.475*44/12</f>
        <v>3.0610191761618322</v>
      </c>
      <c r="BR24" s="21">
        <f>EXP(-LN(2)/2)*BR23+(1-EXP(-LN(2)/2))/(LN(2)/2)*BL24*BO24*VLOOKUP('Données projet'!$B$11,Paramètres!$A$1:$I$89,3,0)*0.475*44/12</f>
        <v>14.306887311544422</v>
      </c>
      <c r="BS24" s="22">
        <f t="shared" si="9"/>
        <v>20.441025705177495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29.8</v>
      </c>
      <c r="N25" s="13">
        <f>IF('Données projet'!$A$36&gt;35,N24+M25-V24,IF(A25&lt;'Données projet'!$A$36,$K$205^A25,IF(A25='Données projet'!$A$36,'Données projet'!$B$36,N24+M25-V24)))</f>
        <v>379.59999999999997</v>
      </c>
      <c r="O25" s="13">
        <f>N25*VLOOKUP('Données projet'!$B$9,Paramètres!$A$1:$I$89,3,0)*VLOOKUP('Données projet'!$B$9,Paramètres!$A$1:$I$89,5,0)</f>
        <v>212.19639999999998</v>
      </c>
      <c r="P25" s="13">
        <f t="shared" si="33"/>
        <v>52.415263324942657</v>
      </c>
      <c r="Q25" s="20">
        <f t="shared" si="2"/>
        <v>460.86531362427507</v>
      </c>
      <c r="R25" s="59">
        <f t="shared" si="0"/>
        <v>744.42086917983056</v>
      </c>
      <c r="S25" s="59">
        <f ca="1">AVERAGE(OFFSET($R$3,0,0,'Données projet'!$E$9+1,1))-AVERAGE(OFFSET($H$3,0,0,'Données projet'!$E$9+1,1))</f>
        <v>534.78683721545372</v>
      </c>
      <c r="T25" s="59">
        <f t="shared" si="34"/>
        <v>710.59298755711075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0.43121496562186096</v>
      </c>
      <c r="AA25" s="21">
        <f>EXP(-LN(2)/25)*AA24+(1-EXP(-LN(2)/25))/(LN(2)/25)*Calculateur!V25*Calculateur!X25*VLOOKUP('Données projet'!$B$9,Paramètres!$A$1:$I$89,3,0)*0.475*44/12</f>
        <v>1.6910629420178889</v>
      </c>
      <c r="AB25" s="21">
        <f>EXP(-LN(2)/2)*AB24+(1-EXP(-LN(2)/2))/(LN(2)/2)*V25*Y25*VLOOKUP('Données projet'!$B$9,Paramètres!$A$1:$I$89,3,0)*0.475*44/12</f>
        <v>0</v>
      </c>
      <c r="AC25" s="22">
        <f t="shared" si="3"/>
        <v>2.12227790763975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19.166666666666668</v>
      </c>
      <c r="AI25" s="13">
        <f>IF('Données projet'!$A$62&gt;35,AI24+AH25-AQ24,IF(A25&lt;'Données projet'!$A$62,$AF$205^A25,IF(A25='Données projet'!$A$62,'Données projet'!$B$62,AI24+AH25-AQ24)))</f>
        <v>200.66666666666669</v>
      </c>
      <c r="AJ25" s="13">
        <f>AI25*VLOOKUP('Données projet'!$B$10,Paramètres!$A$1:$I$89,3,0)*VLOOKUP('Données projet'!$B$10,Paramètres!$A$1:$I$89,5,0)</f>
        <v>109.56400000000001</v>
      </c>
      <c r="AK25" s="13">
        <f t="shared" si="35"/>
        <v>29.228235839881371</v>
      </c>
      <c r="AL25" s="20">
        <f t="shared" si="4"/>
        <v>241.72981075446003</v>
      </c>
      <c r="AM25" s="59">
        <f t="shared" si="5"/>
        <v>525.28536631001555</v>
      </c>
      <c r="AN25" s="59">
        <f ca="1">AVERAGE(OFFSET($AM$3,0,0,'Données projet'!$E$10+1,1))-AVERAGE(OFFSET($H$3,0,0,'Données projet'!$E$10+1,1))</f>
        <v>207.02306964567629</v>
      </c>
      <c r="AO25" s="59">
        <f t="shared" si="36"/>
        <v>342.06887933351783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14.182326697870302</v>
      </c>
      <c r="AW25" s="21">
        <f>EXP(-LN(2)/2)*AW24+(1-EXP(-LN(2)/2))/(LN(2)/2)*AQ25*AT25*VLOOKUP('Données projet'!$B$10,Paramètres!$A$1:$I$89,3,0)*0.475*44/12</f>
        <v>8.0355968867143197</v>
      </c>
      <c r="AX25" s="21">
        <f t="shared" si="6"/>
        <v>22.217923584584621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41.666666666666664</v>
      </c>
      <c r="BD25" s="12">
        <f>IF('Données projet'!$A$88&gt;35,BD24+BC25-BL24,IF(A25&lt;'Données projet'!$A$88,$BA$205^A25,IF(A25='Données projet'!$A$88,'Données projet'!$B$88,BD24+BC25-BL24)))</f>
        <v>197.66666666666666</v>
      </c>
      <c r="BE25" s="13">
        <f>BD25*VLOOKUP('Données projet'!$B$11,Paramètres!$A$1:$I$89,3,0)*VLOOKUP('Données projet'!$B$11,Paramètres!$A$1:$I$89,5,0)</f>
        <v>92.507999999999996</v>
      </c>
      <c r="BF25" s="13">
        <f t="shared" si="37"/>
        <v>25.1691232259789</v>
      </c>
      <c r="BG25" s="20">
        <f t="shared" si="7"/>
        <v>204.95432295191324</v>
      </c>
      <c r="BH25" s="59">
        <f t="shared" si="8"/>
        <v>488.50987850746878</v>
      </c>
      <c r="BI25" s="59">
        <f ca="1">AVERAGE(OFFSET($BH$3,0,0,'Données projet'!$E$11+1,1))-AVERAGE(OFFSET($H$3,0,0,'Données projet'!$E$11+1,1))</f>
        <v>345.45636360520137</v>
      </c>
      <c r="BJ25" s="59">
        <f t="shared" si="38"/>
        <v>469.30074822262549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3.012857224034267</v>
      </c>
      <c r="BQ25" s="21">
        <f>EXP(-LN(2)/25)*BQ24+(1-EXP(-LN(2)/25))/(LN(2)/25)*Calculateur!BL25*Calculateur!BN25*VLOOKUP('Données projet'!$B$11,Paramètres!$A$1:$I$89,3,0)*0.475*44/12</f>
        <v>2.9773154458176845</v>
      </c>
      <c r="BR25" s="21">
        <f>EXP(-LN(2)/2)*BR24+(1-EXP(-LN(2)/2))/(LN(2)/2)*BL25*BO25*VLOOKUP('Données projet'!$B$11,Paramètres!$A$1:$I$89,3,0)*0.475*44/12</f>
        <v>10.116497035664835</v>
      </c>
      <c r="BS25" s="22">
        <f t="shared" si="9"/>
        <v>16.106669705516786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29.8</v>
      </c>
      <c r="N26" s="13">
        <f>IF('Données projet'!$A$36&gt;35,N25+M26-V25,IF(A26&lt;'Données projet'!$A$36,$K$205^A26,IF(A26='Données projet'!$A$36,'Données projet'!$B$36,N25+M26-V25)))</f>
        <v>409.4</v>
      </c>
      <c r="O26" s="13">
        <f>N26*VLOOKUP('Données projet'!$B$9,Paramètres!$A$1:$I$89,3,0)*VLOOKUP('Données projet'!$B$9,Paramètres!$A$1:$I$89,5,0)</f>
        <v>228.8546</v>
      </c>
      <c r="P26" s="13">
        <f t="shared" si="33"/>
        <v>56.034947356867114</v>
      </c>
      <c r="Q26" s="20">
        <f t="shared" si="2"/>
        <v>496.18262831321022</v>
      </c>
      <c r="R26" s="59">
        <f t="shared" si="0"/>
        <v>780.96040609098804</v>
      </c>
      <c r="S26" s="59">
        <f ca="1">AVERAGE(OFFSET($R$3,0,0,'Données projet'!$E$9+1,1))-AVERAGE(OFFSET($H$3,0,0,'Données projet'!$E$9+1,1))</f>
        <v>534.78683721545372</v>
      </c>
      <c r="T26" s="59">
        <f t="shared" si="34"/>
        <v>710.59298755711075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0.42275910316117471</v>
      </c>
      <c r="AA26" s="21">
        <f>EXP(-LN(2)/25)*AA25+(1-EXP(-LN(2)/25))/(LN(2)/25)*Calculateur!V26*Calculateur!X26*VLOOKUP('Données projet'!$B$9,Paramètres!$A$1:$I$89,3,0)*0.475*44/12</f>
        <v>1.6448207369392747</v>
      </c>
      <c r="AB26" s="21">
        <f>EXP(-LN(2)/2)*AB25+(1-EXP(-LN(2)/2))/(LN(2)/2)*V26*Y26*VLOOKUP('Données projet'!$B$9,Paramètres!$A$1:$I$89,3,0)*0.475*44/12</f>
        <v>0</v>
      </c>
      <c r="AC26" s="22">
        <f t="shared" si="3"/>
        <v>2.0675798401004495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19.166666666666668</v>
      </c>
      <c r="AI26" s="13">
        <f>IF('Données projet'!$A$62&gt;35,AI25+AH26-AQ25,IF(A26&lt;'Données projet'!$A$62,$AF$205^A26,IF(A26='Données projet'!$A$62,'Données projet'!$B$62,AI25+AH26-AQ25)))</f>
        <v>219.83333333333334</v>
      </c>
      <c r="AJ26" s="13">
        <f>AI26*VLOOKUP('Données projet'!$B$10,Paramètres!$A$1:$I$89,3,0)*VLOOKUP('Données projet'!$B$10,Paramètres!$A$1:$I$89,5,0)</f>
        <v>120.029</v>
      </c>
      <c r="AK26" s="13">
        <f t="shared" si="35"/>
        <v>31.68176297276506</v>
      </c>
      <c r="AL26" s="20">
        <f t="shared" si="4"/>
        <v>264.22957884423249</v>
      </c>
      <c r="AM26" s="59">
        <f t="shared" si="5"/>
        <v>549.00735662201032</v>
      </c>
      <c r="AN26" s="59">
        <f ca="1">AVERAGE(OFFSET($AM$3,0,0,'Données projet'!$E$10+1,1))-AVERAGE(OFFSET($H$3,0,0,'Données projet'!$E$10+1,1))</f>
        <v>207.02306964567629</v>
      </c>
      <c r="AO26" s="59">
        <f t="shared" si="36"/>
        <v>342.06887933351783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13.794510228500892</v>
      </c>
      <c r="AW26" s="21">
        <f>EXP(-LN(2)/2)*AW25+(1-EXP(-LN(2)/2))/(LN(2)/2)*AQ26*AT26*VLOOKUP('Données projet'!$B$10,Paramètres!$A$1:$I$89,3,0)*0.475*44/12</f>
        <v>5.6820250494772058</v>
      </c>
      <c r="AX26" s="21">
        <f t="shared" si="6"/>
        <v>19.476535277978098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41.666666666666664</v>
      </c>
      <c r="BD26" s="12">
        <f>IF('Données projet'!$A$88&gt;35,BD25+BC26-BL25,IF(A26&lt;'Données projet'!$A$88,$BA$205^A26,IF(A26='Données projet'!$A$88,'Données projet'!$B$88,BD25+BC26-BL25)))</f>
        <v>239.33333333333331</v>
      </c>
      <c r="BE26" s="13">
        <f>BD26*VLOOKUP('Données projet'!$B$11,Paramètres!$A$1:$I$89,3,0)*VLOOKUP('Données projet'!$B$11,Paramètres!$A$1:$I$89,5,0)</f>
        <v>112.008</v>
      </c>
      <c r="BF26" s="13">
        <f t="shared" si="37"/>
        <v>29.803585787381248</v>
      </c>
      <c r="BG26" s="20">
        <f t="shared" si="7"/>
        <v>246.98851191302231</v>
      </c>
      <c r="BH26" s="59">
        <f t="shared" si="8"/>
        <v>531.76628969080002</v>
      </c>
      <c r="BI26" s="59">
        <f ca="1">AVERAGE(OFFSET($BH$3,0,0,'Données projet'!$E$11+1,1))-AVERAGE(OFFSET($H$3,0,0,'Données projet'!$E$11+1,1))</f>
        <v>345.45636360520137</v>
      </c>
      <c r="BJ26" s="59">
        <f t="shared" si="38"/>
        <v>469.30074822262549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2.9537769315324076</v>
      </c>
      <c r="BQ26" s="21">
        <f>EXP(-LN(2)/25)*BQ25+(1-EXP(-LN(2)/25))/(LN(2)/25)*Calculateur!BL26*Calculateur!BN26*VLOOKUP('Données projet'!$B$11,Paramètres!$A$1:$I$89,3,0)*0.475*44/12</f>
        <v>2.8959005983815853</v>
      </c>
      <c r="BR26" s="21">
        <f>EXP(-LN(2)/2)*BR25+(1-EXP(-LN(2)/2))/(LN(2)/2)*BL26*BO26*VLOOKUP('Données projet'!$B$11,Paramètres!$A$1:$I$89,3,0)*0.475*44/12</f>
        <v>7.1534436557722119</v>
      </c>
      <c r="BS26" s="22">
        <f t="shared" si="9"/>
        <v>13.003121185686204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29.8</v>
      </c>
      <c r="N27" s="13">
        <f>IF('Données projet'!$A$36&gt;35,N26+M27-V26,IF(A27&lt;'Données projet'!$A$36,$K$205^A27,IF(A27='Données projet'!$A$36,'Données projet'!$B$36,N26+M27-V26)))</f>
        <v>439.2</v>
      </c>
      <c r="O27" s="13">
        <f>N27*VLOOKUP('Données projet'!$B$9,Paramètres!$A$1:$I$89,3,0)*VLOOKUP('Données projet'!$B$9,Paramètres!$A$1:$I$89,5,0)</f>
        <v>245.5128</v>
      </c>
      <c r="P27" s="13">
        <f t="shared" si="33"/>
        <v>59.624063998553147</v>
      </c>
      <c r="Q27" s="20">
        <f t="shared" si="2"/>
        <v>531.44670479748004</v>
      </c>
      <c r="R27" s="59">
        <f t="shared" si="0"/>
        <v>817.44670479748004</v>
      </c>
      <c r="S27" s="59">
        <f ca="1">AVERAGE(OFFSET($R$3,0,0,'Données projet'!$E$9+1,1))-AVERAGE(OFFSET($H$3,0,0,'Données projet'!$E$9+1,1))</f>
        <v>534.78683721545372</v>
      </c>
      <c r="T27" s="59">
        <f t="shared" si="34"/>
        <v>710.59298755711075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0.41446905500577569</v>
      </c>
      <c r="AA27" s="21">
        <f>EXP(-LN(2)/25)*AA26+(1-EXP(-LN(2)/25))/(LN(2)/25)*Calculateur!V27*Calculateur!X27*VLOOKUP('Données projet'!$B$9,Paramètres!$A$1:$I$89,3,0)*0.475*44/12</f>
        <v>1.599843027390307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2.0143120823960827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239</v>
      </c>
      <c r="AG27" s="12">
        <f>VLOOKUP(A27,'Données projet'!$A$61:$I$81,9,0)</f>
        <v>19.166666666666668</v>
      </c>
      <c r="AH27" s="12">
        <f t="array" ref="AH27">INDEX(AG:AG,MIN(IF(ISNUMBER(AG27:AG223),ROW(AG27:AG223),"")))</f>
        <v>19.166666666666668</v>
      </c>
      <c r="AI27" s="13">
        <f>IF('Données projet'!$A$62&gt;35,AI26+AH27-AQ26,IF(A27&lt;'Données projet'!$A$62,$AF$205^A27,IF(A27='Données projet'!$A$62,'Données projet'!$B$62,AI26+AH27-AQ26)))</f>
        <v>239</v>
      </c>
      <c r="AJ27" s="13">
        <f>AI27*VLOOKUP('Données projet'!$B$10,Paramètres!$A$1:$I$89,3,0)*VLOOKUP('Données projet'!$B$10,Paramètres!$A$1:$I$89,5,0)</f>
        <v>130.494</v>
      </c>
      <c r="AK27" s="13">
        <f t="shared" si="35"/>
        <v>34.110483018610772</v>
      </c>
      <c r="AL27" s="20">
        <f t="shared" si="4"/>
        <v>286.68614125741374</v>
      </c>
      <c r="AM27" s="59">
        <f t="shared" si="5"/>
        <v>572.68614125741374</v>
      </c>
      <c r="AN27" s="59">
        <f ca="1">AVERAGE(OFFSET($AM$3,0,0,'Données projet'!$E$10+1,1))-AVERAGE(OFFSET($H$3,0,0,'Données projet'!$E$10+1,1))</f>
        <v>207.02306964567629</v>
      </c>
      <c r="AO27" s="59">
        <f t="shared" si="36"/>
        <v>342.06887933351783</v>
      </c>
      <c r="AP27" s="15">
        <f>IF(ISNA(VLOOKUP(A27,'Données projet'!$A$61:$I$81,3,0)),0,VLOOKUP(A27,'Données projet'!$A$61:$I$81,3,0))</f>
        <v>4</v>
      </c>
      <c r="AQ27" s="15">
        <f>IF(ISNA(VLOOKUP(A27,'Données projet'!$A$61:$I$81,4,0)),0,VLOOKUP(A27,'Données projet'!$A$61:$I$81,4,0))</f>
        <v>84</v>
      </c>
      <c r="AR27" s="16">
        <f>IF(ISNA(VLOOKUP(A27,'Données projet'!$A$61:$I$81,5,0)),0%,VLOOKUP(A27,'Données projet'!$A$61:$I$81,5,0)*VLOOKUP('Données projet'!$B$10,Paramètres!$A$1:$I$89,7,0))</f>
        <v>0.12</v>
      </c>
      <c r="AS27" s="16">
        <f>IF(ISNA(VLOOKUP(A27,'Données projet'!$A$61:$I$81,6,0)),0%,VLOOKUP(A27,'Données projet'!$A$61:$I$81,6,0)*VLOOKUP('Données projet'!$B$10,Paramètres!$A$1:$I$89,7,0))</f>
        <v>0.36</v>
      </c>
      <c r="AT27" s="16">
        <f>IF(ISNA(VLOOKUP(A27,'Données projet'!$A$61:$I$81,7,0)),0%,VLOOKUP(A27,'Données projet'!$A$61:$I$81,7,0))</f>
        <v>0.2</v>
      </c>
      <c r="AU27" s="21">
        <f>EXP(-LN(2)/35)*AU26+(1-EXP(-LN(2)/35))/(LN(2)/35)*AQ27*AR27*VLOOKUP('Données projet'!$B$10,Paramètres!$A$1:$I$89,3,0)*0.475*44/12</f>
        <v>7.3009862621134873</v>
      </c>
      <c r="AV27" s="21">
        <f>EXP(-LN(2)/25)*AV26+(1-EXP(-LN(2)/25))/(LN(2)/25)*Calculateur!AQ27*Calculateur!AS27*VLOOKUP('Données projet'!$B$10,Paramètres!$A$1:$I$89,3,0)*0.475*44/12</f>
        <v>35.234017112797822</v>
      </c>
      <c r="AW27" s="21">
        <f>EXP(-LN(2)/2)*AW26+(1-EXP(-LN(2)/2))/(LN(2)/2)*AQ27*AT27*VLOOKUP('Données projet'!$B$10,Paramètres!$A$1:$I$89,3,0)*0.475*44/12</f>
        <v>14.403538862107926</v>
      </c>
      <c r="AX27" s="21">
        <f t="shared" si="6"/>
        <v>56.938542237019234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281</v>
      </c>
      <c r="BB27" s="12">
        <f>VLOOKUP(A27,'Données projet'!$A$87:$I$107,9,0)</f>
        <v>41.666666666666664</v>
      </c>
      <c r="BC27" s="12">
        <f t="array" ref="BC27">INDEX(BB:BB,MIN(IF(ISNUMBER(BB27:BB223),ROW(BB27:BB223),"")))</f>
        <v>41.666666666666664</v>
      </c>
      <c r="BD27" s="12">
        <f>IF('Données projet'!$A$88&gt;35,BD26+BC27-BL26,IF(A27&lt;'Données projet'!$A$88,$BA$205^A27,IF(A27='Données projet'!$A$88,'Données projet'!$B$88,BD26+BC27-BL26)))</f>
        <v>281</v>
      </c>
      <c r="BE27" s="13">
        <f>BD27*VLOOKUP('Données projet'!$B$11,Paramètres!$A$1:$I$89,3,0)*VLOOKUP('Données projet'!$B$11,Paramètres!$A$1:$I$89,5,0)</f>
        <v>131.50800000000001</v>
      </c>
      <c r="BF27" s="13">
        <f t="shared" si="37"/>
        <v>34.344579617082509</v>
      </c>
      <c r="BG27" s="20">
        <f t="shared" si="7"/>
        <v>288.85990949975201</v>
      </c>
      <c r="BH27" s="59">
        <f t="shared" si="8"/>
        <v>574.85990949975201</v>
      </c>
      <c r="BI27" s="59">
        <f ca="1">AVERAGE(OFFSET($BH$3,0,0,'Données projet'!$E$11+1,1))-AVERAGE(OFFSET($H$3,0,0,'Données projet'!$E$11+1,1))</f>
        <v>345.45636360520137</v>
      </c>
      <c r="BJ27" s="59">
        <f t="shared" si="38"/>
        <v>469.30074822262549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50</v>
      </c>
      <c r="BM27" s="16">
        <f>IF(ISNA(VLOOKUP(A27,'Données projet'!$A$87:$I$107,5,0)),0%,VLOOKUP(A27,'Données projet'!$A$87:$I$107,5,0)*VLOOKUP('Données projet'!$B$11,Paramètres!$A$1:$I$89,7,0))</f>
        <v>0.11000000000000001</v>
      </c>
      <c r="BN27" s="16">
        <f>IF(ISNA(VLOOKUP(A27,'Données projet'!$A$87:$I$107,6,0)),0%,VLOOKUP(A27,'Données projet'!$A$87:$I$107,6,0)*VLOOKUP('Données projet'!$B$11,Paramètres!$A$1:$I$89,7,0))</f>
        <v>0.22000000000000003</v>
      </c>
      <c r="BO27" s="16">
        <f>IF(ISNA(VLOOKUP(A27,'Données projet'!$A$87:$I$107,7,0)),0%,VLOOKUP(A27,'Données projet'!$A$87:$I$107,7,0))</f>
        <v>0.2</v>
      </c>
      <c r="BP27" s="21">
        <f>EXP(-LN(2)/35)*BP26+(1-EXP(-LN(2)/35))/(LN(2)/35)*BL27*BM27*VLOOKUP('Données projet'!$B$11,Paramètres!$A$1:$I$89,3,0)*0.475*44/12</f>
        <v>6.3104320758324661</v>
      </c>
      <c r="BQ27" s="21">
        <f>EXP(-LN(2)/25)*BQ26+(1-EXP(-LN(2)/25))/(LN(2)/25)*Calculateur!BL27*Calculateur!BN27*VLOOKUP('Données projet'!$B$11,Paramètres!$A$1:$I$89,3,0)*0.475*44/12</f>
        <v>9.6189768801452296</v>
      </c>
      <c r="BR27" s="21">
        <f>EXP(-LN(2)/2)*BR26+(1-EXP(-LN(2)/2))/(LN(2)/2)*BL27*BO27*VLOOKUP('Données projet'!$B$11,Paramètres!$A$1:$I$89,3,0)*0.475*44/12</f>
        <v>10.357095670256278</v>
      </c>
      <c r="BS27" s="22">
        <f t="shared" si="9"/>
        <v>26.286504626233974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469</v>
      </c>
      <c r="L28" s="12">
        <f>VLOOKUP(A28,'Données projet'!$A$35:$I$55,9,0)</f>
        <v>29.8</v>
      </c>
      <c r="M28" s="12">
        <f t="array" ref="M28">INDEX(L:L,MIN(IF(ISNUMBER(L28:L224),ROW(L28:L224),"")))</f>
        <v>29.8</v>
      </c>
      <c r="N28" s="13">
        <f>IF('Données projet'!$A$36&gt;35,N27+M28-V27,IF(A28&lt;'Données projet'!$A$36,$K$205^A28,IF(A28='Données projet'!$A$36,'Données projet'!$B$36,N27+M28-V27)))</f>
        <v>469</v>
      </c>
      <c r="O28" s="13">
        <f>N28*VLOOKUP('Données projet'!$B$9,Paramètres!$A$1:$I$89,3,0)*VLOOKUP('Données projet'!$B$9,Paramètres!$A$1:$I$89,5,0)</f>
        <v>262.17099999999999</v>
      </c>
      <c r="P28" s="13">
        <f t="shared" si="33"/>
        <v>63.184923227726436</v>
      </c>
      <c r="Q28" s="20">
        <f t="shared" si="2"/>
        <v>566.66156628829015</v>
      </c>
      <c r="R28" s="59">
        <f t="shared" si="0"/>
        <v>853.88378851051243</v>
      </c>
      <c r="S28" s="59">
        <f ca="1">AVERAGE(OFFSET($R$3,0,0,'Données projet'!$E$9+1,1))-AVERAGE(OFFSET($H$3,0,0,'Données projet'!$E$9+1,1))</f>
        <v>534.78683721545372</v>
      </c>
      <c r="T28" s="59">
        <f t="shared" si="34"/>
        <v>710.59298755711075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46</v>
      </c>
      <c r="W28" s="16">
        <f>IF(ISNA(VLOOKUP(A28,'Données projet'!$A$35:$I$55,5,0)),0%,VLOOKUP(A28,'Données projet'!$A$35:$I$55,5,0)*VLOOKUP('Données projet'!$B$9,Paramètres!$A$1:$I$89,7,0))</f>
        <v>5.5000000000000007E-2</v>
      </c>
      <c r="X28" s="16">
        <f>IF(ISNA(VLOOKUP(A28,'Données projet'!$A$35:$I$55,6,0)),0%,VLOOKUP(A28,'Données projet'!$A$35:$I$55,6,0)*VLOOKUP('Données projet'!$B$9,Paramètres!$A$1:$I$89,7,0))</f>
        <v>0.27500000000000002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2.2824618820327527</v>
      </c>
      <c r="AA28" s="21">
        <f>EXP(-LN(2)/25)*AA27+(1-EXP(-LN(2)/25))/(LN(2)/25)*Calculateur!V28*Calculateur!X28*VLOOKUP('Données projet'!$B$9,Paramètres!$A$1:$I$89,3,0)*0.475*44/12</f>
        <v>10.899761795007723</v>
      </c>
      <c r="AB28" s="21">
        <f>EXP(-LN(2)/2)*AB27+(1-EXP(-LN(2)/2))/(LN(2)/2)*V28*Y28*VLOOKUP('Données projet'!$B$9,Paramètres!$A$1:$I$89,3,0)*0.475*44/12</f>
        <v>0</v>
      </c>
      <c r="AC28" s="22">
        <f t="shared" si="3"/>
        <v>13.182223677040476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16.666666666666668</v>
      </c>
      <c r="AI28" s="13">
        <f>IF('Données projet'!$A$62&gt;35,AI27+AH28-AQ27,IF(A28&lt;'Données projet'!$A$62,$AF$205^A28,IF(A28='Données projet'!$A$62,'Données projet'!$B$62,AI27+AH28-AQ27)))</f>
        <v>171.66666666666666</v>
      </c>
      <c r="AJ28" s="13">
        <f>AI28*VLOOKUP('Données projet'!$B$10,Paramètres!$A$1:$I$89,3,0)*VLOOKUP('Données projet'!$B$10,Paramètres!$A$1:$I$89,5,0)</f>
        <v>93.72999999999999</v>
      </c>
      <c r="AK28" s="13">
        <f t="shared" si="35"/>
        <v>25.462674063925309</v>
      </c>
      <c r="AL28" s="20">
        <f t="shared" si="4"/>
        <v>207.59390732800321</v>
      </c>
      <c r="AM28" s="59">
        <f t="shared" si="5"/>
        <v>494.81612955022547</v>
      </c>
      <c r="AN28" s="59">
        <f ca="1">AVERAGE(OFFSET($AM$3,0,0,'Données projet'!$E$10+1,1))-AVERAGE(OFFSET($H$3,0,0,'Données projet'!$E$10+1,1))</f>
        <v>207.02306964567629</v>
      </c>
      <c r="AO28" s="59">
        <f t="shared" si="36"/>
        <v>342.06887933351783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7.1578183746753483</v>
      </c>
      <c r="AV28" s="21">
        <f>EXP(-LN(2)/25)*AV27+(1-EXP(-LN(2)/25))/(LN(2)/25)*Calculateur!AQ28*Calculateur!AS28*VLOOKUP('Données projet'!$B$10,Paramètres!$A$1:$I$89,3,0)*0.475*44/12</f>
        <v>34.270541061971933</v>
      </c>
      <c r="AW28" s="21">
        <f>EXP(-LN(2)/2)*AW27+(1-EXP(-LN(2)/2))/(LN(2)/2)*AQ28*AT28*VLOOKUP('Données projet'!$B$10,Paramètres!$A$1:$I$89,3,0)*0.475*44/12</f>
        <v>10.184840002480483</v>
      </c>
      <c r="AX28" s="21">
        <f t="shared" si="6"/>
        <v>51.613199439127769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45.75</v>
      </c>
      <c r="BD28" s="12">
        <f>IF('Données projet'!$A$88&gt;35,BD27+BC28-BL27,IF(A28&lt;'Données projet'!$A$88,$BA$205^A28,IF(A28='Données projet'!$A$88,'Données projet'!$B$88,BD27+BC28-BL27)))</f>
        <v>276.75</v>
      </c>
      <c r="BE28" s="13">
        <f>BD28*VLOOKUP('Données projet'!$B$11,Paramètres!$A$1:$I$89,3,0)*VLOOKUP('Données projet'!$B$11,Paramètres!$A$1:$I$89,5,0)</f>
        <v>129.51900000000001</v>
      </c>
      <c r="BF28" s="13">
        <f t="shared" si="37"/>
        <v>33.885190387878694</v>
      </c>
      <c r="BG28" s="20">
        <f t="shared" si="7"/>
        <v>284.59563159222211</v>
      </c>
      <c r="BH28" s="59">
        <f t="shared" si="8"/>
        <v>571.81785381444433</v>
      </c>
      <c r="BI28" s="59">
        <f ca="1">AVERAGE(OFFSET($BH$3,0,0,'Données projet'!$E$11+1,1))-AVERAGE(OFFSET($H$3,0,0,'Données projet'!$E$11+1,1))</f>
        <v>345.45636360520137</v>
      </c>
      <c r="BJ28" s="59">
        <f t="shared" si="38"/>
        <v>469.30074822262549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6.1866883518089022</v>
      </c>
      <c r="BQ28" s="21">
        <f>EXP(-LN(2)/25)*BQ27+(1-EXP(-LN(2)/25))/(LN(2)/25)*Calculateur!BL28*Calculateur!BN28*VLOOKUP('Données projet'!$B$11,Paramètres!$A$1:$I$89,3,0)*0.475*44/12</f>
        <v>9.3559454515176483</v>
      </c>
      <c r="BR28" s="21">
        <f>EXP(-LN(2)/2)*BR27+(1-EXP(-LN(2)/2))/(LN(2)/2)*BL28*BO28*VLOOKUP('Données projet'!$B$11,Paramètres!$A$1:$I$89,3,0)*0.475*44/12</f>
        <v>7.3235725818360455</v>
      </c>
      <c r="BS28" s="22">
        <f t="shared" si="9"/>
        <v>22.866206385162595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27.4</v>
      </c>
      <c r="N29" s="13">
        <f>IF('Données projet'!$A$36&gt;35,N28+M29-V28,IF(A29&lt;'Données projet'!$A$36,$K$205^A29,IF(A29='Données projet'!$A$36,'Données projet'!$B$36,N28+M29-V28)))</f>
        <v>450.4</v>
      </c>
      <c r="O29" s="13">
        <f>N29*VLOOKUP('Données projet'!$B$9,Paramètres!$A$1:$I$89,3,0)*VLOOKUP('Données projet'!$B$9,Paramètres!$A$1:$I$89,5,0)</f>
        <v>251.77360000000002</v>
      </c>
      <c r="P29" s="13">
        <f t="shared" si="33"/>
        <v>60.965574198020335</v>
      </c>
      <c r="Q29" s="20">
        <f t="shared" si="2"/>
        <v>544.68739506155214</v>
      </c>
      <c r="R29" s="59">
        <f t="shared" si="0"/>
        <v>833.1318395059966</v>
      </c>
      <c r="S29" s="59">
        <f ca="1">AVERAGE(OFFSET($R$3,0,0,'Données projet'!$E$9+1,1))-AVERAGE(OFFSET($H$3,0,0,'Données projet'!$E$9+1,1))</f>
        <v>534.78683721545372</v>
      </c>
      <c r="T29" s="59">
        <f t="shared" si="34"/>
        <v>710.59298755711075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2.2377041966903737</v>
      </c>
      <c r="AA29" s="21">
        <f>EXP(-LN(2)/25)*AA28+(1-EXP(-LN(2)/25))/(LN(2)/25)*Calculateur!V29*Calculateur!X29*VLOOKUP('Données projet'!$B$9,Paramètres!$A$1:$I$89,3,0)*0.475*44/12</f>
        <v>10.601707235529677</v>
      </c>
      <c r="AB29" s="21">
        <f>EXP(-LN(2)/2)*AB28+(1-EXP(-LN(2)/2))/(LN(2)/2)*V29*Y29*VLOOKUP('Données projet'!$B$9,Paramètres!$A$1:$I$89,3,0)*0.475*44/12</f>
        <v>0</v>
      </c>
      <c r="AC29" s="22">
        <f t="shared" si="3"/>
        <v>12.83941143222005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16.666666666666668</v>
      </c>
      <c r="AI29" s="13">
        <f>IF('Données projet'!$A$62&gt;35,AI28+AH29-AQ28,IF(A29&lt;'Données projet'!$A$62,$AF$205^A29,IF(A29='Données projet'!$A$62,'Données projet'!$B$62,AI28+AH29-AQ28)))</f>
        <v>188.33333333333331</v>
      </c>
      <c r="AJ29" s="13">
        <f>AI29*VLOOKUP('Données projet'!$B$10,Paramètres!$A$1:$I$89,3,0)*VLOOKUP('Données projet'!$B$10,Paramètres!$A$1:$I$89,5,0)</f>
        <v>102.83</v>
      </c>
      <c r="AK29" s="13">
        <f t="shared" si="35"/>
        <v>27.635107084401234</v>
      </c>
      <c r="AL29" s="20">
        <f t="shared" si="4"/>
        <v>227.22672817199881</v>
      </c>
      <c r="AM29" s="59">
        <f t="shared" si="5"/>
        <v>515.6711726164433</v>
      </c>
      <c r="AN29" s="59">
        <f ca="1">AVERAGE(OFFSET($AM$3,0,0,'Données projet'!$E$10+1,1))-AVERAGE(OFFSET($H$3,0,0,'Données projet'!$E$10+1,1))</f>
        <v>207.02306964567629</v>
      </c>
      <c r="AO29" s="59">
        <f t="shared" si="36"/>
        <v>342.06887933351783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7.0174579221860824</v>
      </c>
      <c r="AV29" s="21">
        <f>EXP(-LN(2)/25)*AV28+(1-EXP(-LN(2)/25))/(LN(2)/25)*Calculateur!AQ29*Calculateur!AS29*VLOOKUP('Données projet'!$B$10,Paramètres!$A$1:$I$89,3,0)*0.475*44/12</f>
        <v>33.333411314422882</v>
      </c>
      <c r="AW29" s="21">
        <f>EXP(-LN(2)/2)*AW28+(1-EXP(-LN(2)/2))/(LN(2)/2)*AQ29*AT29*VLOOKUP('Données projet'!$B$10,Paramètres!$A$1:$I$89,3,0)*0.475*44/12</f>
        <v>7.2017694310539637</v>
      </c>
      <c r="AX29" s="21">
        <f t="shared" si="6"/>
        <v>47.552638667662926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45.75</v>
      </c>
      <c r="BD29" s="12">
        <f>IF('Données projet'!$A$88&gt;35,BD28+BC29-BL28,IF(A29&lt;'Données projet'!$A$88,$BA$205^A29,IF(A29='Données projet'!$A$88,'Données projet'!$B$88,BD28+BC29-BL28)))</f>
        <v>322.5</v>
      </c>
      <c r="BE29" s="13">
        <f>BD29*VLOOKUP('Données projet'!$B$11,Paramètres!$A$1:$I$89,3,0)*VLOOKUP('Données projet'!$B$11,Paramètres!$A$1:$I$89,5,0)</f>
        <v>150.93</v>
      </c>
      <c r="BF29" s="13">
        <f t="shared" si="37"/>
        <v>38.789855371379076</v>
      </c>
      <c r="BG29" s="20">
        <f t="shared" si="7"/>
        <v>330.4287481051519</v>
      </c>
      <c r="BH29" s="59">
        <f t="shared" si="8"/>
        <v>618.8731925495963</v>
      </c>
      <c r="BI29" s="59">
        <f ca="1">AVERAGE(OFFSET($BH$3,0,0,'Données projet'!$E$11+1,1))-AVERAGE(OFFSET($H$3,0,0,'Données projet'!$E$11+1,1))</f>
        <v>345.45636360520137</v>
      </c>
      <c r="BJ29" s="59">
        <f t="shared" si="38"/>
        <v>469.30074822262549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6.0653711667372212</v>
      </c>
      <c r="BQ29" s="21">
        <f>EXP(-LN(2)/25)*BQ28+(1-EXP(-LN(2)/25))/(LN(2)/25)*Calculateur!BL29*Calculateur!BN29*VLOOKUP('Données projet'!$B$11,Paramètres!$A$1:$I$89,3,0)*0.475*44/12</f>
        <v>9.1001066311381109</v>
      </c>
      <c r="BR29" s="21">
        <f>EXP(-LN(2)/2)*BR28+(1-EXP(-LN(2)/2))/(LN(2)/2)*BL29*BO29*VLOOKUP('Données projet'!$B$11,Paramètres!$A$1:$I$89,3,0)*0.475*44/12</f>
        <v>5.17854783512814</v>
      </c>
      <c r="BS29" s="22">
        <f t="shared" si="9"/>
        <v>20.344025633003472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27.4</v>
      </c>
      <c r="N30" s="13">
        <f>IF('Données projet'!$A$36&gt;35,N29+M30-V29,IF(A30&lt;'Données projet'!$A$36,$K$205^A30,IF(A30='Données projet'!$A$36,'Données projet'!$B$36,N29+M30-V29)))</f>
        <v>477.79999999999995</v>
      </c>
      <c r="O30" s="13">
        <f>N30*VLOOKUP('Données projet'!$B$9,Paramètres!$A$1:$I$89,3,0)*VLOOKUP('Données projet'!$B$9,Paramètres!$A$1:$I$89,5,0)</f>
        <v>267.09019999999998</v>
      </c>
      <c r="P30" s="13">
        <f t="shared" si="33"/>
        <v>64.231347395864233</v>
      </c>
      <c r="Q30" s="20">
        <f t="shared" si="2"/>
        <v>577.0516950477969</v>
      </c>
      <c r="R30" s="59">
        <f t="shared" si="0"/>
        <v>866.71836171446353</v>
      </c>
      <c r="S30" s="59">
        <f ca="1">AVERAGE(OFFSET($R$3,0,0,'Données projet'!$E$9+1,1))-AVERAGE(OFFSET($H$3,0,0,'Données projet'!$E$9+1,1))</f>
        <v>534.78683721545372</v>
      </c>
      <c r="T30" s="59">
        <f t="shared" si="34"/>
        <v>710.59298755711075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2.1938241822580662</v>
      </c>
      <c r="AA30" s="21">
        <f>EXP(-LN(2)/25)*AA29+(1-EXP(-LN(2)/25))/(LN(2)/25)*Calculateur!V30*Calculateur!X30*VLOOKUP('Données projet'!$B$9,Paramètres!$A$1:$I$89,3,0)*0.475*44/12</f>
        <v>10.311802993654565</v>
      </c>
      <c r="AB30" s="21">
        <f>EXP(-LN(2)/2)*AB29+(1-EXP(-LN(2)/2))/(LN(2)/2)*V30*Y30*VLOOKUP('Données projet'!$B$9,Paramètres!$A$1:$I$89,3,0)*0.475*44/12</f>
        <v>0</v>
      </c>
      <c r="AC30" s="22">
        <f t="shared" si="3"/>
        <v>12.505627175912631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16.666666666666668</v>
      </c>
      <c r="AI30" s="13">
        <f>IF('Données projet'!$A$62&gt;35,AI29+AH30-AQ29,IF(A30&lt;'Données projet'!$A$62,$AF$205^A30,IF(A30='Données projet'!$A$62,'Données projet'!$B$62,AI29+AH30-AQ29)))</f>
        <v>204.99999999999997</v>
      </c>
      <c r="AJ30" s="13">
        <f>AI30*VLOOKUP('Données projet'!$B$10,Paramètres!$A$1:$I$89,3,0)*VLOOKUP('Données projet'!$B$10,Paramètres!$A$1:$I$89,5,0)</f>
        <v>111.92999999999998</v>
      </c>
      <c r="AK30" s="13">
        <f t="shared" si="35"/>
        <v>29.785246291563833</v>
      </c>
      <c r="AL30" s="20">
        <f t="shared" si="4"/>
        <v>246.82072062447358</v>
      </c>
      <c r="AM30" s="59">
        <f t="shared" si="5"/>
        <v>536.48738729114029</v>
      </c>
      <c r="AN30" s="59">
        <f ca="1">AVERAGE(OFFSET($AM$3,0,0,'Données projet'!$E$10+1,1))-AVERAGE(OFFSET($H$3,0,0,'Données projet'!$E$10+1,1))</f>
        <v>207.02306964567629</v>
      </c>
      <c r="AO30" s="59">
        <f t="shared" si="36"/>
        <v>342.06887933351783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6.8798498525587082</v>
      </c>
      <c r="AV30" s="21">
        <f>EXP(-LN(2)/25)*AV29+(1-EXP(-LN(2)/25))/(LN(2)/25)*Calculateur!AQ30*Calculateur!AS30*VLOOKUP('Données projet'!$B$10,Paramètres!$A$1:$I$89,3,0)*0.475*44/12</f>
        <v>32.42190742910207</v>
      </c>
      <c r="AW30" s="21">
        <f>EXP(-LN(2)/2)*AW29+(1-EXP(-LN(2)/2))/(LN(2)/2)*AQ30*AT30*VLOOKUP('Données projet'!$B$10,Paramètres!$A$1:$I$89,3,0)*0.475*44/12</f>
        <v>5.0924200012402423</v>
      </c>
      <c r="AX30" s="21">
        <f t="shared" si="6"/>
        <v>44.394177282901019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45.75</v>
      </c>
      <c r="BD30" s="12">
        <f>IF('Données projet'!$A$88&gt;35,BD29+BC30-BL29,IF(A30&lt;'Données projet'!$A$88,$BA$205^A30,IF(A30='Données projet'!$A$88,'Données projet'!$B$88,BD29+BC30-BL29)))</f>
        <v>368.25</v>
      </c>
      <c r="BE30" s="13">
        <f>BD30*VLOOKUP('Données projet'!$B$11,Paramètres!$A$1:$I$89,3,0)*VLOOKUP('Données projet'!$B$11,Paramètres!$A$1:$I$89,5,0)</f>
        <v>172.34100000000001</v>
      </c>
      <c r="BF30" s="13">
        <f t="shared" si="37"/>
        <v>43.613911643991898</v>
      </c>
      <c r="BG30" s="20">
        <f t="shared" si="7"/>
        <v>376.12147111328591</v>
      </c>
      <c r="BH30" s="59">
        <f t="shared" si="8"/>
        <v>665.78813777995265</v>
      </c>
      <c r="BI30" s="59">
        <f ca="1">AVERAGE(OFFSET($BH$3,0,0,'Données projet'!$E$11+1,1))-AVERAGE(OFFSET($H$3,0,0,'Données projet'!$E$11+1,1))</f>
        <v>345.45636360520137</v>
      </c>
      <c r="BJ30" s="59">
        <f t="shared" si="38"/>
        <v>469.30074822262549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5.9464329376686198</v>
      </c>
      <c r="BQ30" s="21">
        <f>EXP(-LN(2)/25)*BQ29+(1-EXP(-LN(2)/25))/(LN(2)/25)*Calculateur!BL30*Calculateur!BN30*VLOOKUP('Données projet'!$B$11,Paramètres!$A$1:$I$89,3,0)*0.475*44/12</f>
        <v>8.8512637367558309</v>
      </c>
      <c r="BR30" s="21">
        <f>EXP(-LN(2)/2)*BR29+(1-EXP(-LN(2)/2))/(LN(2)/2)*BL30*BO30*VLOOKUP('Données projet'!$B$11,Paramètres!$A$1:$I$89,3,0)*0.475*44/12</f>
        <v>3.6617862909180232</v>
      </c>
      <c r="BS30" s="22">
        <f t="shared" si="9"/>
        <v>18.459482965342474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27.4</v>
      </c>
      <c r="N31" s="13">
        <f>IF('Données projet'!$A$36&gt;35,N30+M31-V30,IF(A31&lt;'Données projet'!$A$36,$K$205^A31,IF(A31='Données projet'!$A$36,'Données projet'!$B$36,N30+M31-V30)))</f>
        <v>505.19999999999993</v>
      </c>
      <c r="O31" s="13">
        <f>N31*VLOOKUP('Données projet'!$B$9,Paramètres!$A$1:$I$89,3,0)*VLOOKUP('Données projet'!$B$9,Paramètres!$A$1:$I$89,5,0)</f>
        <v>282.40679999999998</v>
      </c>
      <c r="P31" s="13">
        <f t="shared" si="33"/>
        <v>67.475381268028372</v>
      </c>
      <c r="Q31" s="20">
        <f t="shared" si="2"/>
        <v>609.37813237514945</v>
      </c>
      <c r="R31" s="59">
        <f t="shared" si="0"/>
        <v>900.26702126403825</v>
      </c>
      <c r="S31" s="59">
        <f ca="1">AVERAGE(OFFSET($R$3,0,0,'Données projet'!$E$9+1,1))-AVERAGE(OFFSET($H$3,0,0,'Données projet'!$E$9+1,1))</f>
        <v>534.78683721545372</v>
      </c>
      <c r="T31" s="59">
        <f t="shared" si="34"/>
        <v>710.59298755711075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2.15080462814461</v>
      </c>
      <c r="AA31" s="21">
        <f>EXP(-LN(2)/25)*AA30+(1-EXP(-LN(2)/25))/(LN(2)/25)*Calculateur!V31*Calculateur!X31*VLOOKUP('Données projet'!$B$9,Paramètres!$A$1:$I$89,3,0)*0.475*44/12</f>
        <v>10.029826198518929</v>
      </c>
      <c r="AB31" s="21">
        <f>EXP(-LN(2)/2)*AB30+(1-EXP(-LN(2)/2))/(LN(2)/2)*V31*Y31*VLOOKUP('Données projet'!$B$9,Paramètres!$A$1:$I$89,3,0)*0.475*44/12</f>
        <v>0</v>
      </c>
      <c r="AC31" s="22">
        <f t="shared" si="3"/>
        <v>12.180630826663538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16.666666666666668</v>
      </c>
      <c r="AI31" s="13">
        <f>IF('Données projet'!$A$62&gt;35,AI30+AH31-AQ30,IF(A31&lt;'Données projet'!$A$62,$AF$205^A31,IF(A31='Données projet'!$A$62,'Données projet'!$B$62,AI30+AH31-AQ30)))</f>
        <v>221.66666666666663</v>
      </c>
      <c r="AJ31" s="13">
        <f>AI31*VLOOKUP('Données projet'!$B$10,Paramètres!$A$1:$I$89,3,0)*VLOOKUP('Données projet'!$B$10,Paramètres!$A$1:$I$89,5,0)</f>
        <v>121.02999999999997</v>
      </c>
      <c r="AK31" s="13">
        <f t="shared" si="35"/>
        <v>31.915110254002617</v>
      </c>
      <c r="AL31" s="20">
        <f t="shared" si="4"/>
        <v>266.3794003590545</v>
      </c>
      <c r="AM31" s="59">
        <f t="shared" si="5"/>
        <v>557.26828924794336</v>
      </c>
      <c r="AN31" s="59">
        <f ca="1">AVERAGE(OFFSET($AM$3,0,0,'Données projet'!$E$10+1,1))-AVERAGE(OFFSET($H$3,0,0,'Données projet'!$E$10+1,1))</f>
        <v>207.02306964567629</v>
      </c>
      <c r="AO31" s="59">
        <f t="shared" si="36"/>
        <v>342.06887933351783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6.7449401932440924</v>
      </c>
      <c r="AV31" s="21">
        <f>EXP(-LN(2)/25)*AV30+(1-EXP(-LN(2)/25))/(LN(2)/25)*Calculateur!AQ31*Calculateur!AS31*VLOOKUP('Données projet'!$B$10,Paramètres!$A$1:$I$89,3,0)*0.475*44/12</f>
        <v>31.535328665459264</v>
      </c>
      <c r="AW31" s="21">
        <f>EXP(-LN(2)/2)*AW30+(1-EXP(-LN(2)/2))/(LN(2)/2)*AQ31*AT31*VLOOKUP('Données projet'!$B$10,Paramètres!$A$1:$I$89,3,0)*0.475*44/12</f>
        <v>3.6008847155269823</v>
      </c>
      <c r="AX31" s="21">
        <f t="shared" si="6"/>
        <v>41.881153574230339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>
        <f>VLOOKUP(A31,'Données projet'!$A$87:$I$107,2,0)</f>
        <v>414</v>
      </c>
      <c r="BB31" s="12">
        <f>VLOOKUP(A31,'Données projet'!$A$87:$I$107,9,0)</f>
        <v>45.75</v>
      </c>
      <c r="BC31" s="12">
        <f t="array" ref="BC31">INDEX(BB:BB,MIN(IF(ISNUMBER(BB31:BB227),ROW(BB31:BB227),"")))</f>
        <v>45.75</v>
      </c>
      <c r="BD31" s="12">
        <f>IF('Données projet'!$A$88&gt;35,BD30+BC31-BL30,IF(A31&lt;'Données projet'!$A$88,$BA$205^A31,IF(A31='Données projet'!$A$88,'Données projet'!$B$88,BD30+BC31-BL30)))</f>
        <v>414</v>
      </c>
      <c r="BE31" s="13">
        <f>BD31*VLOOKUP('Données projet'!$B$11,Paramètres!$A$1:$I$89,3,0)*VLOOKUP('Données projet'!$B$11,Paramètres!$A$1:$I$89,5,0)</f>
        <v>193.75200000000001</v>
      </c>
      <c r="BF31" s="13">
        <f t="shared" si="37"/>
        <v>48.368520355376113</v>
      </c>
      <c r="BG31" s="20">
        <f t="shared" si="7"/>
        <v>421.69323961894673</v>
      </c>
      <c r="BH31" s="59">
        <f t="shared" si="8"/>
        <v>712.58212850783559</v>
      </c>
      <c r="BI31" s="59">
        <f ca="1">AVERAGE(OFFSET($BH$3,0,0,'Données projet'!$E$11+1,1))-AVERAGE(OFFSET($H$3,0,0,'Données projet'!$E$11+1,1))</f>
        <v>345.45636360520137</v>
      </c>
      <c r="BJ31" s="59">
        <f t="shared" si="38"/>
        <v>469.30074822262549</v>
      </c>
      <c r="BK31" s="15">
        <f>IF(ISNA(VLOOKUP(A31,'Données projet'!$A$87:$I$107,3,0)),0,VLOOKUP(A31,'Données projet'!$A$87:$I$107,3,0))</f>
        <v>4</v>
      </c>
      <c r="BL31" s="15">
        <f>IF(ISNA(VLOOKUP(A31,'Données projet'!$A$87:$I$107,4,0)),0,VLOOKUP(A31,'Données projet'!$A$87:$I$107,4,0))</f>
        <v>80</v>
      </c>
      <c r="BM31" s="16">
        <f>IF(ISNA(VLOOKUP(A31,'Données projet'!$A$87:$I$107,5,0)),0%,VLOOKUP(A31,'Données projet'!$A$87:$I$107,5,0)*VLOOKUP('Données projet'!$B$11,Paramètres!$A$1:$I$89,7,0))</f>
        <v>0.16500000000000001</v>
      </c>
      <c r="BN31" s="16">
        <f>IF(ISNA(VLOOKUP(A31,'Données projet'!$A$87:$I$107,6,0)),0%,VLOOKUP(A31,'Données projet'!$A$87:$I$107,6,0)*VLOOKUP('Données projet'!$B$11,Paramètres!$A$1:$I$89,7,0))</f>
        <v>0.22000000000000003</v>
      </c>
      <c r="BO31" s="16">
        <f>IF(ISNA(VLOOKUP(A31,'Données projet'!$A$87:$I$107,7,0)),0%,VLOOKUP(A31,'Données projet'!$A$87:$I$107,7,0))</f>
        <v>0.3</v>
      </c>
      <c r="BP31" s="21">
        <f>EXP(-LN(2)/35)*BP30+(1-EXP(-LN(2)/35))/(LN(2)/35)*BL31*BM31*VLOOKUP('Données projet'!$B$11,Paramètres!$A$1:$I$89,3,0)*0.475*44/12</f>
        <v>14.024811594650199</v>
      </c>
      <c r="BQ31" s="21">
        <f>EXP(-LN(2)/25)*BQ30+(1-EXP(-LN(2)/25))/(LN(2)/25)*Calculateur!BL31*Calculateur!BN31*VLOOKUP('Données projet'!$B$11,Paramètres!$A$1:$I$89,3,0)*0.475*44/12</f>
        <v>19.492849201870804</v>
      </c>
      <c r="BR31" s="21">
        <f>EXP(-LN(2)/2)*BR30+(1-EXP(-LN(2)/2))/(LN(2)/2)*BL31*BO31*VLOOKUP('Données projet'!$B$11,Paramètres!$A$1:$I$89,3,0)*0.475*44/12</f>
        <v>15.306507083381334</v>
      </c>
      <c r="BS31" s="22">
        <f t="shared" si="9"/>
        <v>48.824167879902333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27.4</v>
      </c>
      <c r="N32" s="13">
        <f>IF('Données projet'!$A$36&gt;35,N31+M32-V31,IF(A32&lt;'Données projet'!$A$36,$K$205^A32,IF(A32='Données projet'!$A$36,'Données projet'!$B$36,N31+M32-V31)))</f>
        <v>532.59999999999991</v>
      </c>
      <c r="O32" s="13">
        <f>N32*VLOOKUP('Données projet'!$B$9,Paramètres!$A$1:$I$89,3,0)*VLOOKUP('Données projet'!$B$9,Paramètres!$A$1:$I$89,5,0)</f>
        <v>297.72339999999991</v>
      </c>
      <c r="P32" s="13">
        <f t="shared" si="33"/>
        <v>70.698989284770079</v>
      </c>
      <c r="Q32" s="20">
        <f t="shared" si="2"/>
        <v>641.66899467097437</v>
      </c>
      <c r="R32" s="59">
        <f t="shared" si="0"/>
        <v>933.78010578208546</v>
      </c>
      <c r="S32" s="59">
        <f ca="1">AVERAGE(OFFSET($R$3,0,0,'Données projet'!$E$9+1,1))-AVERAGE(OFFSET($H$3,0,0,'Données projet'!$E$9+1,1))</f>
        <v>534.78683721545372</v>
      </c>
      <c r="T32" s="59">
        <f t="shared" si="34"/>
        <v>710.59298755711075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2.1086286612479817</v>
      </c>
      <c r="AA32" s="21">
        <f>EXP(-LN(2)/25)*AA31+(1-EXP(-LN(2)/25))/(LN(2)/25)*Calculateur!V32*Calculateur!X32*VLOOKUP('Données projet'!$B$9,Paramètres!$A$1:$I$89,3,0)*0.475*44/12</f>
        <v>9.7555600736747934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11.864188734922775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16.666666666666668</v>
      </c>
      <c r="AI32" s="13">
        <f>IF('Données projet'!$A$62&gt;35,AI31+AH32-AQ31,IF(A32&lt;'Données projet'!$A$62,$AF$205^A32,IF(A32='Données projet'!$A$62,'Données projet'!$B$62,AI31+AH32-AQ31)))</f>
        <v>238.33333333333329</v>
      </c>
      <c r="AJ32" s="13">
        <f>AI32*VLOOKUP('Données projet'!$B$10,Paramètres!$A$1:$I$89,3,0)*VLOOKUP('Données projet'!$B$10,Paramètres!$A$1:$I$89,5,0)</f>
        <v>130.12999999999997</v>
      </c>
      <c r="AK32" s="13">
        <f t="shared" si="35"/>
        <v>34.026396767825609</v>
      </c>
      <c r="AL32" s="20">
        <f t="shared" si="4"/>
        <v>285.90572437062957</v>
      </c>
      <c r="AM32" s="59">
        <f t="shared" si="5"/>
        <v>578.01683548174071</v>
      </c>
      <c r="AN32" s="59">
        <f ca="1">AVERAGE(OFFSET($AM$3,0,0,'Données projet'!$E$10+1,1))-AVERAGE(OFFSET($H$3,0,0,'Données projet'!$E$10+1,1))</f>
        <v>207.02306964567629</v>
      </c>
      <c r="AO32" s="59">
        <f t="shared" si="36"/>
        <v>342.06887933351783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6.612676030061869</v>
      </c>
      <c r="AV32" s="21">
        <f>EXP(-LN(2)/25)*AV31+(1-EXP(-LN(2)/25))/(LN(2)/25)*Calculateur!AQ32*Calculateur!AS32*VLOOKUP('Données projet'!$B$10,Paramètres!$A$1:$I$89,3,0)*0.475*44/12</f>
        <v>30.672993444731421</v>
      </c>
      <c r="AW32" s="21">
        <f>EXP(-LN(2)/2)*AW31+(1-EXP(-LN(2)/2))/(LN(2)/2)*AQ32*AT32*VLOOKUP('Données projet'!$B$10,Paramètres!$A$1:$I$89,3,0)*0.475*44/12</f>
        <v>2.5462100006201216</v>
      </c>
      <c r="AX32" s="21">
        <f t="shared" si="6"/>
        <v>39.831879475413409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45.5</v>
      </c>
      <c r="BD32" s="12">
        <f>IF('Données projet'!$A$88&gt;35,BD31+BC32-BL31,IF(A32&lt;'Données projet'!$A$88,$BA$205^A32,IF(A32='Données projet'!$A$88,'Données projet'!$B$88,BD31+BC32-BL31)))</f>
        <v>379.5</v>
      </c>
      <c r="BE32" s="13">
        <f>BD32*VLOOKUP('Données projet'!$B$11,Paramètres!$A$1:$I$89,3,0)*VLOOKUP('Données projet'!$B$11,Paramètres!$A$1:$I$89,5,0)</f>
        <v>177.60600000000002</v>
      </c>
      <c r="BF32" s="13">
        <f t="shared" si="37"/>
        <v>44.789150937858665</v>
      </c>
      <c r="BG32" s="20">
        <f t="shared" si="7"/>
        <v>387.33822121677053</v>
      </c>
      <c r="BH32" s="59">
        <f t="shared" si="8"/>
        <v>679.44933232788162</v>
      </c>
      <c r="BI32" s="59">
        <f ca="1">AVERAGE(OFFSET($BH$3,0,0,'Données projet'!$E$11+1,1))-AVERAGE(OFFSET($H$3,0,0,'Données projet'!$E$11+1,1))</f>
        <v>345.45636360520137</v>
      </c>
      <c r="BJ32" s="59">
        <f t="shared" si="38"/>
        <v>469.30074822262549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13.749793593569516</v>
      </c>
      <c r="BQ32" s="21">
        <f>EXP(-LN(2)/25)*BQ31+(1-EXP(-LN(2)/25))/(LN(2)/25)*Calculateur!BL32*Calculateur!BN32*VLOOKUP('Données projet'!$B$11,Paramètres!$A$1:$I$89,3,0)*0.475*44/12</f>
        <v>18.959816215361258</v>
      </c>
      <c r="BR32" s="21">
        <f>EXP(-LN(2)/2)*BR31+(1-EXP(-LN(2)/2))/(LN(2)/2)*BL32*BO32*VLOOKUP('Données projet'!$B$11,Paramètres!$A$1:$I$89,3,0)*0.475*44/12</f>
        <v>10.823334954938865</v>
      </c>
      <c r="BS32" s="22">
        <f t="shared" si="9"/>
        <v>43.532944763869637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560</v>
      </c>
      <c r="L33" s="12">
        <f>VLOOKUP(A33,'Données projet'!$A$35:$I$55,9,0)</f>
        <v>27.4</v>
      </c>
      <c r="M33" s="12">
        <f t="array" ref="M33">INDEX(L:L,MIN(IF(ISNUMBER(L33:L229),ROW(L33:L229),"")))</f>
        <v>27.4</v>
      </c>
      <c r="N33" s="13">
        <f>IF('Données projet'!$A$36&gt;35,N32+M33-V32,IF(A33&lt;'Données projet'!$A$36,$K$205^A33,IF(A33='Données projet'!$A$36,'Données projet'!$B$36,N32+M33-V32)))</f>
        <v>559.99999999999989</v>
      </c>
      <c r="O33" s="13">
        <f>N33*VLOOKUP('Données projet'!$B$9,Paramètres!$A$1:$I$89,3,0)*VLOOKUP('Données projet'!$B$9,Paramètres!$A$1:$I$89,5,0)</f>
        <v>313.03999999999996</v>
      </c>
      <c r="P33" s="13">
        <f t="shared" si="33"/>
        <v>73.903342138054057</v>
      </c>
      <c r="Q33" s="20">
        <f t="shared" si="2"/>
        <v>673.92632089044412</v>
      </c>
      <c r="R33" s="59">
        <f t="shared" si="0"/>
        <v>967.25965422377749</v>
      </c>
      <c r="S33" s="59">
        <f ca="1">AVERAGE(OFFSET($R$3,0,0,'Données projet'!$E$9+1,1))-AVERAGE(OFFSET($H$3,0,0,'Données projet'!$E$9+1,1))</f>
        <v>534.78683721545372</v>
      </c>
      <c r="T33" s="59">
        <f t="shared" si="34"/>
        <v>710.59298755711075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67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7.5324997797908777</v>
      </c>
      <c r="AA33" s="21">
        <f>EXP(-LN(2)/25)*AA32+(1-EXP(-LN(2)/25))/(LN(2)/25)*Calculateur!V33*Calculateur!X33*VLOOKUP('Données projet'!$B$9,Paramètres!$A$1:$I$89,3,0)*0.475*44/12</f>
        <v>20.376196543921793</v>
      </c>
      <c r="AB33" s="21">
        <f>EXP(-LN(2)/2)*AB32+(1-EXP(-LN(2)/2))/(LN(2)/2)*V33*Y33*VLOOKUP('Données projet'!$B$9,Paramètres!$A$1:$I$89,3,0)*0.475*44/12</f>
        <v>0</v>
      </c>
      <c r="AC33" s="22">
        <f t="shared" si="3"/>
        <v>27.908696323712672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255</v>
      </c>
      <c r="AG33" s="12">
        <f>VLOOKUP(A33,'Données projet'!$A$61:$I$81,9,0)</f>
        <v>16.666666666666668</v>
      </c>
      <c r="AH33" s="12">
        <f t="array" ref="AH33">INDEX(AG:AG,MIN(IF(ISNUMBER(AG33:AG229),ROW(AG33:AG229),"")))</f>
        <v>16.666666666666668</v>
      </c>
      <c r="AI33" s="13">
        <f>IF('Données projet'!$A$62&gt;35,AI32+AH33-AQ32,IF(A33&lt;'Données projet'!$A$62,$AF$205^A33,IF(A33='Données projet'!$A$62,'Données projet'!$B$62,AI32+AH33-AQ32)))</f>
        <v>254.99999999999994</v>
      </c>
      <c r="AJ33" s="13">
        <f>AI33*VLOOKUP('Données projet'!$B$10,Paramètres!$A$1:$I$89,3,0)*VLOOKUP('Données projet'!$B$10,Paramètres!$A$1:$I$89,5,0)</f>
        <v>139.22999999999996</v>
      </c>
      <c r="AK33" s="13">
        <f t="shared" si="35"/>
        <v>36.120552727378737</v>
      </c>
      <c r="AL33" s="20">
        <f t="shared" si="4"/>
        <v>305.4022126668512</v>
      </c>
      <c r="AM33" s="59">
        <f t="shared" si="5"/>
        <v>598.73554600018451</v>
      </c>
      <c r="AN33" s="59">
        <f ca="1">AVERAGE(OFFSET($AM$3,0,0,'Données projet'!$E$10+1,1))-AVERAGE(OFFSET($H$3,0,0,'Données projet'!$E$10+1,1))</f>
        <v>207.02306964567629</v>
      </c>
      <c r="AO33" s="59">
        <f t="shared" si="36"/>
        <v>342.06887933351783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76</v>
      </c>
      <c r="AR33" s="16">
        <f>IF(ISNA(VLOOKUP(A33,'Données projet'!$A$61:$I$81,5,0)),0%,VLOOKUP(A33,'Données projet'!$A$61:$I$81,5,0)*VLOOKUP('Données projet'!$B$10,Paramètres!$A$1:$I$89,7,0))</f>
        <v>0.24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19.694313960747071</v>
      </c>
      <c r="AV33" s="21">
        <f>EXP(-LN(2)/25)*AV32+(1-EXP(-LN(2)/25))/(LN(2)/25)*Calculateur!AQ33*Calculateur!AS33*VLOOKUP('Données projet'!$B$10,Paramètres!$A$1:$I$89,3,0)*0.475*44/12</f>
        <v>42.993529344896714</v>
      </c>
      <c r="AW33" s="21">
        <f>EXP(-LN(2)/2)*AW32+(1-EXP(-LN(2)/2))/(LN(2)/2)*AQ33*AT33*VLOOKUP('Données projet'!$B$10,Paramètres!$A$1:$I$89,3,0)*0.475*44/12</f>
        <v>11.197064641395137</v>
      </c>
      <c r="AX33" s="21">
        <f t="shared" si="6"/>
        <v>73.884907947038926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45.5</v>
      </c>
      <c r="BD33" s="12">
        <f>IF('Données projet'!$A$88&gt;35,BD32+BC33-BL32,IF(A33&lt;'Données projet'!$A$88,$BA$205^A33,IF(A33='Données projet'!$A$88,'Données projet'!$B$88,BD32+BC33-BL32)))</f>
        <v>425</v>
      </c>
      <c r="BE33" s="13">
        <f>BD33*VLOOKUP('Données projet'!$B$11,Paramètres!$A$1:$I$89,3,0)*VLOOKUP('Données projet'!$B$11,Paramètres!$A$1:$I$89,5,0)</f>
        <v>198.9</v>
      </c>
      <c r="BF33" s="13">
        <f t="shared" si="37"/>
        <v>49.502343477105569</v>
      </c>
      <c r="BG33" s="20">
        <f t="shared" si="7"/>
        <v>432.63408155595886</v>
      </c>
      <c r="BH33" s="59">
        <f t="shared" si="8"/>
        <v>725.96741488929217</v>
      </c>
      <c r="BI33" s="59">
        <f ca="1">AVERAGE(OFFSET($BH$3,0,0,'Données projet'!$E$11+1,1))-AVERAGE(OFFSET($H$3,0,0,'Données projet'!$E$11+1,1))</f>
        <v>345.45636360520137</v>
      </c>
      <c r="BJ33" s="59">
        <f t="shared" si="38"/>
        <v>469.30074822262549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13.480168527745606</v>
      </c>
      <c r="BQ33" s="21">
        <f>EXP(-LN(2)/25)*BQ32+(1-EXP(-LN(2)/25))/(LN(2)/25)*Calculateur!BL33*Calculateur!BN33*VLOOKUP('Données projet'!$B$11,Paramètres!$A$1:$I$89,3,0)*0.475*44/12</f>
        <v>18.441359043898803</v>
      </c>
      <c r="BR33" s="21">
        <f>EXP(-LN(2)/2)*BR32+(1-EXP(-LN(2)/2))/(LN(2)/2)*BL33*BO33*VLOOKUP('Données projet'!$B$11,Paramètres!$A$1:$I$89,3,0)*0.475*44/12</f>
        <v>7.6532535416906677</v>
      </c>
      <c r="BS33" s="22">
        <f t="shared" si="9"/>
        <v>39.574781113335078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24.6</v>
      </c>
      <c r="N34" s="13">
        <f>IF('Données projet'!$A$36&gt;35,N33+M34-V33,IF(A34&lt;'Données projet'!$A$36,$K$205^A34,IF(A34='Données projet'!$A$36,'Données projet'!$B$36,N33+M34-V33)))</f>
        <v>517.59999999999991</v>
      </c>
      <c r="O34" s="13">
        <f>N34*VLOOKUP('Données projet'!$B$9,Paramètres!$A$1:$I$89,3,0)*VLOOKUP('Données projet'!$B$9,Paramètres!$A$1:$I$89,5,0)</f>
        <v>289.33839999999998</v>
      </c>
      <c r="P34" s="13">
        <f t="shared" si="33"/>
        <v>68.936697354141856</v>
      </c>
      <c r="Q34" s="20">
        <f t="shared" si="2"/>
        <v>623.99579455846367</v>
      </c>
      <c r="R34" s="59">
        <f t="shared" si="0"/>
        <v>917.32912789179704</v>
      </c>
      <c r="S34" s="59">
        <f ca="1">AVERAGE(OFFSET($R$3,0,0,'Données projet'!$E$9+1,1))-AVERAGE(OFFSET($H$3,0,0,'Données projet'!$E$9+1,1))</f>
        <v>534.78683721545372</v>
      </c>
      <c r="T34" s="59">
        <f t="shared" si="34"/>
        <v>710.59298755711075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7.3847920534803881</v>
      </c>
      <c r="AA34" s="21">
        <f>EXP(-LN(2)/25)*AA33+(1-EXP(-LN(2)/25))/(LN(2)/25)*Calculateur!V34*Calculateur!X34*VLOOKUP('Données projet'!$B$9,Paramètres!$A$1:$I$89,3,0)*0.475*44/12</f>
        <v>19.819008377890647</v>
      </c>
      <c r="AB34" s="21">
        <f>EXP(-LN(2)/2)*AB33+(1-EXP(-LN(2)/2))/(LN(2)/2)*V34*Y34*VLOOKUP('Données projet'!$B$9,Paramètres!$A$1:$I$89,3,0)*0.475*44/12</f>
        <v>0</v>
      </c>
      <c r="AC34" s="22">
        <f t="shared" si="3"/>
        <v>27.203800431371036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</v>
      </c>
      <c r="AI34" s="13">
        <f>IF('Données projet'!$A$62&gt;35,AI33+AH34-AQ33,IF(A34&lt;'Données projet'!$A$62,$AF$205^A34,IF(A34='Données projet'!$A$62,'Données projet'!$B$62,AI33+AH34-AQ33)))</f>
        <v>193.99999999999994</v>
      </c>
      <c r="AJ34" s="13">
        <f>AI34*VLOOKUP('Données projet'!$B$10,Paramètres!$A$1:$I$89,3,0)*VLOOKUP('Données projet'!$B$10,Paramètres!$A$1:$I$89,5,0)</f>
        <v>105.92399999999998</v>
      </c>
      <c r="AK34" s="13">
        <f t="shared" si="35"/>
        <v>28.36854701055546</v>
      </c>
      <c r="AL34" s="20">
        <f t="shared" si="4"/>
        <v>233.89285271005073</v>
      </c>
      <c r="AM34" s="59">
        <f t="shared" si="5"/>
        <v>527.22618604338402</v>
      </c>
      <c r="AN34" s="59">
        <f ca="1">AVERAGE(OFFSET($AM$3,0,0,'Données projet'!$E$10+1,1))-AVERAGE(OFFSET($H$3,0,0,'Données projet'!$E$10+1,1))</f>
        <v>207.02306964567629</v>
      </c>
      <c r="AO34" s="59">
        <f t="shared" si="36"/>
        <v>342.06887933351783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19.308120476322216</v>
      </c>
      <c r="AV34" s="21">
        <f>EXP(-LN(2)/25)*AV33+(1-EXP(-LN(2)/25))/(LN(2)/25)*Calculateur!AQ34*Calculateur!AS34*VLOOKUP('Données projet'!$B$10,Paramètres!$A$1:$I$89,3,0)*0.475*44/12</f>
        <v>41.817869024029072</v>
      </c>
      <c r="AW34" s="21">
        <f>EXP(-LN(2)/2)*AW33+(1-EXP(-LN(2)/2))/(LN(2)/2)*AQ34*AT34*VLOOKUP('Données projet'!$B$10,Paramètres!$A$1:$I$89,3,0)*0.475*44/12</f>
        <v>7.9175203373146203</v>
      </c>
      <c r="AX34" s="21">
        <f t="shared" si="6"/>
        <v>69.043509837665908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45.5</v>
      </c>
      <c r="BD34" s="12">
        <f>IF('Données projet'!$A$88&gt;35,BD33+BC34-BL33,IF(A34&lt;'Données projet'!$A$88,$BA$205^A34,IF(A34='Données projet'!$A$88,'Données projet'!$B$88,BD33+BC34-BL33)))</f>
        <v>470.5</v>
      </c>
      <c r="BE34" s="13">
        <f>BD34*VLOOKUP('Données projet'!$B$11,Paramètres!$A$1:$I$89,3,0)*VLOOKUP('Données projet'!$B$11,Paramètres!$A$1:$I$89,5,0)</f>
        <v>220.19399999999999</v>
      </c>
      <c r="BF34" s="13">
        <f t="shared" si="37"/>
        <v>54.157048498807988</v>
      </c>
      <c r="BG34" s="20">
        <f t="shared" si="7"/>
        <v>477.82807613542383</v>
      </c>
      <c r="BH34" s="59">
        <f t="shared" si="8"/>
        <v>771.16140946875714</v>
      </c>
      <c r="BI34" s="59">
        <f ca="1">AVERAGE(OFFSET($BH$3,0,0,'Données projet'!$E$11+1,1))-AVERAGE(OFFSET($H$3,0,0,'Données projet'!$E$11+1,1))</f>
        <v>345.45636360520137</v>
      </c>
      <c r="BJ34" s="59">
        <f t="shared" si="38"/>
        <v>469.30074822262549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13.215830645007452</v>
      </c>
      <c r="BQ34" s="21">
        <f>EXP(-LN(2)/25)*BQ33+(1-EXP(-LN(2)/25))/(LN(2)/25)*Calculateur!BL34*Calculateur!BN34*VLOOKUP('Données projet'!$B$11,Paramètres!$A$1:$I$89,3,0)*0.475*44/12</f>
        <v>17.937079111054466</v>
      </c>
      <c r="BR34" s="21">
        <f>EXP(-LN(2)/2)*BR33+(1-EXP(-LN(2)/2))/(LN(2)/2)*BL34*BO34*VLOOKUP('Données projet'!$B$11,Paramètres!$A$1:$I$89,3,0)*0.475*44/12</f>
        <v>5.4116674774694333</v>
      </c>
      <c r="BS34" s="22">
        <f t="shared" si="9"/>
        <v>36.564577233531352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24.6</v>
      </c>
      <c r="N35" s="13">
        <f>IF('Données projet'!$A$36&gt;35,N34+M35-V34,IF(A35&lt;'Données projet'!$A$36,$K$205^A35,IF(A35='Données projet'!$A$36,'Données projet'!$B$36,N34+M35-V34)))</f>
        <v>542.19999999999993</v>
      </c>
      <c r="O35" s="13">
        <f>N35*VLOOKUP('Données projet'!$B$9,Paramètres!$A$1:$I$89,3,0)*VLOOKUP('Données projet'!$B$9,Paramètres!$A$1:$I$89,5,0)</f>
        <v>303.08979999999997</v>
      </c>
      <c r="P35" s="13">
        <f t="shared" si="33"/>
        <v>71.823817446744386</v>
      </c>
      <c r="Q35" s="20">
        <f t="shared" ref="Q35:Q66" si="53">(O35+P35)*0.475*44/12</f>
        <v>652.97455038641306</v>
      </c>
      <c r="R35" s="59">
        <f t="shared" si="0"/>
        <v>946.30788371974631</v>
      </c>
      <c r="S35" s="59">
        <f ca="1">AVERAGE(OFFSET($R$3,0,0,'Données projet'!$E$9+1,1))-AVERAGE(OFFSET($H$3,0,0,'Données projet'!$E$9+1,1))</f>
        <v>534.78683721545372</v>
      </c>
      <c r="T35" s="59">
        <f t="shared" si="34"/>
        <v>710.59298755711075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7.2399807855900296</v>
      </c>
      <c r="AA35" s="21">
        <f>EXP(-LN(2)/25)*AA34+(1-EXP(-LN(2)/25))/(LN(2)/25)*Calculateur!V35*Calculateur!X35*VLOOKUP('Données projet'!$B$9,Paramètres!$A$1:$I$89,3,0)*0.475*44/12</f>
        <v>19.277056551560875</v>
      </c>
      <c r="AB35" s="21">
        <f>EXP(-LN(2)/2)*AB34+(1-EXP(-LN(2)/2))/(LN(2)/2)*V35*Y35*VLOOKUP('Données projet'!$B$9,Paramètres!$A$1:$I$89,3,0)*0.475*44/12</f>
        <v>0</v>
      </c>
      <c r="AC35" s="22">
        <f t="shared" si="3"/>
        <v>26.517037337150903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</v>
      </c>
      <c r="AI35" s="13">
        <f>IF('Données projet'!$A$62&gt;35,AI34+AH35-AQ34,IF(A35&lt;'Données projet'!$A$62,$AF$205^A35,IF(A35='Données projet'!$A$62,'Données projet'!$B$62,AI34+AH35-AQ34)))</f>
        <v>208.99999999999994</v>
      </c>
      <c r="AJ35" s="13">
        <f>AI35*VLOOKUP('Données projet'!$B$10,Paramètres!$A$1:$I$89,3,0)*VLOOKUP('Données projet'!$B$10,Paramètres!$A$1:$I$89,5,0)</f>
        <v>114.11399999999996</v>
      </c>
      <c r="AK35" s="13">
        <f t="shared" si="35"/>
        <v>30.298194021728271</v>
      </c>
      <c r="AL35" s="20">
        <f t="shared" si="4"/>
        <v>251.5179045878433</v>
      </c>
      <c r="AM35" s="59">
        <f t="shared" si="5"/>
        <v>544.85123792117656</v>
      </c>
      <c r="AN35" s="59">
        <f ca="1">AVERAGE(OFFSET($AM$3,0,0,'Données projet'!$E$10+1,1))-AVERAGE(OFFSET($H$3,0,0,'Données projet'!$E$10+1,1))</f>
        <v>207.02306964567629</v>
      </c>
      <c r="AO35" s="59">
        <f t="shared" si="36"/>
        <v>342.06887933351783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18.929500010572166</v>
      </c>
      <c r="AV35" s="21">
        <f>EXP(-LN(2)/25)*AV34+(1-EXP(-LN(2)/25))/(LN(2)/25)*Calculateur!AQ35*Calculateur!AS35*VLOOKUP('Données projet'!$B$10,Paramètres!$A$1:$I$89,3,0)*0.475*44/12</f>
        <v>40.674357196460839</v>
      </c>
      <c r="AW35" s="21">
        <f>EXP(-LN(2)/2)*AW34+(1-EXP(-LN(2)/2))/(LN(2)/2)*AQ35*AT35*VLOOKUP('Données projet'!$B$10,Paramètres!$A$1:$I$89,3,0)*0.475*44/12</f>
        <v>5.5985323206975695</v>
      </c>
      <c r="AX35" s="21">
        <f t="shared" si="6"/>
        <v>65.202389527730574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>
        <f>VLOOKUP(A35,'Données projet'!$A$87:$I$107,2,0)</f>
        <v>516</v>
      </c>
      <c r="BB35" s="12">
        <f>VLOOKUP(A35,'Données projet'!$A$87:$I$107,9,0)</f>
        <v>45.5</v>
      </c>
      <c r="BC35" s="12">
        <f t="array" ref="BC35">INDEX(BB:BB,MIN(IF(ISNUMBER(BB35:BB231),ROW(BB35:BB231),"")))</f>
        <v>45.5</v>
      </c>
      <c r="BD35" s="12">
        <f>IF('Données projet'!$A$88&gt;35,BD34+BC35-BL34,IF(A35&lt;'Données projet'!$A$88,$BA$205^A35,IF(A35='Données projet'!$A$88,'Données projet'!$B$88,BD34+BC35-BL34)))</f>
        <v>516</v>
      </c>
      <c r="BE35" s="13">
        <f>BD35*VLOOKUP('Données projet'!$B$11,Paramètres!$A$1:$I$89,3,0)*VLOOKUP('Données projet'!$B$11,Paramètres!$A$1:$I$89,5,0)</f>
        <v>241.488</v>
      </c>
      <c r="BF35" s="13">
        <f t="shared" si="37"/>
        <v>58.759565673424916</v>
      </c>
      <c r="BG35" s="20">
        <f t="shared" si="7"/>
        <v>522.93117688121504</v>
      </c>
      <c r="BH35" s="59">
        <f t="shared" si="8"/>
        <v>816.26451021454841</v>
      </c>
      <c r="BI35" s="59">
        <f ca="1">AVERAGE(OFFSET($BH$3,0,0,'Données projet'!$E$11+1,1))-AVERAGE(OFFSET($H$3,0,0,'Données projet'!$E$11+1,1))</f>
        <v>345.45636360520137</v>
      </c>
      <c r="BJ35" s="59">
        <f t="shared" si="38"/>
        <v>469.30074822262549</v>
      </c>
      <c r="BK35" s="15">
        <f>IF(ISNA(VLOOKUP(A35,'Données projet'!$A$87:$I$107,3,0)),0,VLOOKUP(A35,'Données projet'!$A$87:$I$107,3,0))</f>
        <v>5</v>
      </c>
      <c r="BL35" s="15">
        <f>IF(ISNA(VLOOKUP(A35,'Données projet'!$A$87:$I$107,4,0)),0,VLOOKUP(A35,'Données projet'!$A$87:$I$107,4,0))</f>
        <v>56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12.956676266919606</v>
      </c>
      <c r="BQ35" s="21">
        <f>EXP(-LN(2)/25)*BQ34+(1-EXP(-LN(2)/25))/(LN(2)/25)*Calculateur!BL35*Calculateur!BN35*VLOOKUP('Données projet'!$B$11,Paramètres!$A$1:$I$89,3,0)*0.475*44/12</f>
        <v>17.446588739492686</v>
      </c>
      <c r="BR35" s="21">
        <f>EXP(-LN(2)/2)*BR34+(1-EXP(-LN(2)/2))/(LN(2)/2)*BL35*BO35*VLOOKUP('Données projet'!$B$11,Paramètres!$A$1:$I$89,3,0)*0.475*44/12</f>
        <v>3.8266267708453343</v>
      </c>
      <c r="BS35" s="22">
        <f t="shared" si="9"/>
        <v>34.229891777257627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24.6</v>
      </c>
      <c r="N36" s="13">
        <f>IF('Données projet'!$A$36&gt;35,N35+M36-V35,IF(A36&lt;'Données projet'!$A$36,$K$205^A36,IF(A36='Données projet'!$A$36,'Données projet'!$B$36,N35+M36-V35)))</f>
        <v>566.79999999999995</v>
      </c>
      <c r="O36" s="13">
        <f>N36*VLOOKUP('Données projet'!$B$9,Paramètres!$A$1:$I$89,3,0)*VLOOKUP('Données projet'!$B$9,Paramètres!$A$1:$I$89,5,0)</f>
        <v>316.84120000000001</v>
      </c>
      <c r="P36" s="13">
        <f t="shared" si="33"/>
        <v>74.695724902330795</v>
      </c>
      <c r="Q36" s="20">
        <f t="shared" si="53"/>
        <v>681.9268108715595</v>
      </c>
      <c r="R36" s="59">
        <f t="shared" si="0"/>
        <v>975.26014420489287</v>
      </c>
      <c r="S36" s="59">
        <f ca="1">AVERAGE(OFFSET($R$3,0,0,'Données projet'!$E$9+1,1))-AVERAGE(OFFSET($H$3,0,0,'Données projet'!$E$9+1,1))</f>
        <v>534.78683721545372</v>
      </c>
      <c r="T36" s="59">
        <f t="shared" si="34"/>
        <v>710.59298755711075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7.0980091783368495</v>
      </c>
      <c r="AA36" s="21">
        <f>EXP(-LN(2)/25)*AA35+(1-EXP(-LN(2)/25))/(LN(2)/25)*Calculateur!V36*Calculateur!X36*VLOOKUP('Données projet'!$B$9,Paramètres!$A$1:$I$89,3,0)*0.475*44/12</f>
        <v>18.749924426422098</v>
      </c>
      <c r="AB36" s="21">
        <f>EXP(-LN(2)/2)*AB35+(1-EXP(-LN(2)/2))/(LN(2)/2)*V36*Y36*VLOOKUP('Données projet'!$B$9,Paramètres!$A$1:$I$89,3,0)*0.475*44/12</f>
        <v>0</v>
      </c>
      <c r="AC36" s="22">
        <f t="shared" si="3"/>
        <v>25.847933604758946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</v>
      </c>
      <c r="AI36" s="13">
        <f>IF('Données projet'!$A$62&gt;35,AI35+AH36-AQ35,IF(A36&lt;'Données projet'!$A$62,$AF$205^A36,IF(A36='Données projet'!$A$62,'Données projet'!$B$62,AI35+AH36-AQ35)))</f>
        <v>223.99999999999994</v>
      </c>
      <c r="AJ36" s="13">
        <f>AI36*VLOOKUP('Données projet'!$B$10,Paramètres!$A$1:$I$89,3,0)*VLOOKUP('Données projet'!$B$10,Paramètres!$A$1:$I$89,5,0)</f>
        <v>122.30399999999996</v>
      </c>
      <c r="AK36" s="13">
        <f t="shared" si="35"/>
        <v>32.211773226559373</v>
      </c>
      <c r="AL36" s="20">
        <f t="shared" si="4"/>
        <v>269.11497170292415</v>
      </c>
      <c r="AM36" s="59">
        <f t="shared" si="5"/>
        <v>562.44830503625747</v>
      </c>
      <c r="AN36" s="59">
        <f ca="1">AVERAGE(OFFSET($AM$3,0,0,'Données projet'!$E$10+1,1))-AVERAGE(OFFSET($H$3,0,0,'Données projet'!$E$10+1,1))</f>
        <v>207.02306964567629</v>
      </c>
      <c r="AO36" s="59">
        <f t="shared" si="36"/>
        <v>342.06887933351783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18.558304061219793</v>
      </c>
      <c r="AV36" s="21">
        <f>EXP(-LN(2)/25)*AV35+(1-EXP(-LN(2)/25))/(LN(2)/25)*Calculateur!AQ36*Calculateur!AS36*VLOOKUP('Données projet'!$B$10,Paramètres!$A$1:$I$89,3,0)*0.475*44/12</f>
        <v>39.562114759952138</v>
      </c>
      <c r="AW36" s="21">
        <f>EXP(-LN(2)/2)*AW35+(1-EXP(-LN(2)/2))/(LN(2)/2)*AQ36*AT36*VLOOKUP('Données projet'!$B$10,Paramètres!$A$1:$I$89,3,0)*0.475*44/12</f>
        <v>3.9587601686573106</v>
      </c>
      <c r="AX36" s="21">
        <f t="shared" si="6"/>
        <v>62.079178989829245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42</v>
      </c>
      <c r="BD36" s="12">
        <f>IF('Données projet'!$A$88&gt;35,BD35+BC36-BL35,IF(A36&lt;'Données projet'!$A$88,$BA$205^A36,IF(A36='Données projet'!$A$88,'Données projet'!$B$88,BD35+BC36-BL35)))</f>
        <v>502</v>
      </c>
      <c r="BE36" s="13">
        <f>BD36*VLOOKUP('Données projet'!$B$11,Paramètres!$A$1:$I$89,3,0)*VLOOKUP('Données projet'!$B$11,Paramètres!$A$1:$I$89,5,0)</f>
        <v>234.93600000000001</v>
      </c>
      <c r="BF36" s="13">
        <f t="shared" si="37"/>
        <v>57.34863760662617</v>
      </c>
      <c r="BG36" s="20">
        <f t="shared" si="7"/>
        <v>509.06241049820727</v>
      </c>
      <c r="BH36" s="59">
        <f t="shared" si="8"/>
        <v>802.39574383154059</v>
      </c>
      <c r="BI36" s="59">
        <f ca="1">AVERAGE(OFFSET($BH$3,0,0,'Données projet'!$E$11+1,1))-AVERAGE(OFFSET($H$3,0,0,'Données projet'!$E$11+1,1))</f>
        <v>345.45636360520137</v>
      </c>
      <c r="BJ36" s="59">
        <f t="shared" si="38"/>
        <v>469.30074822262549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12.7026037481175</v>
      </c>
      <c r="BQ36" s="21">
        <f>EXP(-LN(2)/25)*BQ35+(1-EXP(-LN(2)/25))/(LN(2)/25)*Calculateur!BL36*Calculateur!BN36*VLOOKUP('Données projet'!$B$11,Paramètres!$A$1:$I$89,3,0)*0.475*44/12</f>
        <v>16.969510852935031</v>
      </c>
      <c r="BR36" s="21">
        <f>EXP(-LN(2)/2)*BR35+(1-EXP(-LN(2)/2))/(LN(2)/2)*BL36*BO36*VLOOKUP('Données projet'!$B$11,Paramètres!$A$1:$I$89,3,0)*0.475*44/12</f>
        <v>2.7058337387347171</v>
      </c>
      <c r="BS36" s="22">
        <f t="shared" si="9"/>
        <v>32.377948339787245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24.6</v>
      </c>
      <c r="N37" s="13">
        <f>IF('Données projet'!$A$36&gt;35,N36+M37-V36,IF(A37&lt;'Données projet'!$A$36,$K$205^A37,IF(A37='Données projet'!$A$36,'Données projet'!$B$36,N36+M37-V36)))</f>
        <v>591.4</v>
      </c>
      <c r="O37" s="13">
        <f>N37*VLOOKUP('Données projet'!$B$9,Paramètres!$A$1:$I$89,3,0)*VLOOKUP('Données projet'!$B$9,Paramètres!$A$1:$I$89,5,0)</f>
        <v>330.5926</v>
      </c>
      <c r="P37" s="13">
        <f t="shared" si="33"/>
        <v>77.553155439033247</v>
      </c>
      <c r="Q37" s="20">
        <f t="shared" si="53"/>
        <v>710.85385738964942</v>
      </c>
      <c r="R37" s="59">
        <f t="shared" si="0"/>
        <v>1004.1871907229827</v>
      </c>
      <c r="S37" s="59">
        <f ca="1">AVERAGE(OFFSET($R$3,0,0,'Données projet'!$E$9+1,1))-AVERAGE(OFFSET($H$3,0,0,'Données projet'!$E$9+1,1))</f>
        <v>534.78683721545372</v>
      </c>
      <c r="T37" s="59">
        <f t="shared" si="34"/>
        <v>710.59298755711075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6.9588215477077737</v>
      </c>
      <c r="AA37" s="21">
        <f>EXP(-LN(2)/25)*AA36+(1-EXP(-LN(2)/25))/(LN(2)/25)*Calculateur!V37*Calculateur!X37*VLOOKUP('Données projet'!$B$9,Paramètres!$A$1:$I$89,3,0)*0.475*44/12</f>
        <v>18.237206756965914</v>
      </c>
      <c r="AB37" s="21">
        <f>EXP(-LN(2)/2)*AB36+(1-EXP(-LN(2)/2))/(LN(2)/2)*V37*Y37*VLOOKUP('Données projet'!$B$9,Paramètres!$A$1:$I$89,3,0)*0.475*44/12</f>
        <v>0</v>
      </c>
      <c r="AC37" s="22">
        <f t="shared" si="3"/>
        <v>25.196028304673689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</v>
      </c>
      <c r="AI37" s="13">
        <f>IF('Données projet'!$A$62&gt;35,AI36+AH37-AQ36,IF(A37&lt;'Données projet'!$A$62,$AF$205^A37,IF(A37='Données projet'!$A$62,'Données projet'!$B$62,AI36+AH37-AQ36)))</f>
        <v>238.99999999999994</v>
      </c>
      <c r="AJ37" s="13">
        <f>AI37*VLOOKUP('Données projet'!$B$10,Paramètres!$A$1:$I$89,3,0)*VLOOKUP('Données projet'!$B$10,Paramètres!$A$1:$I$89,5,0)</f>
        <v>130.49399999999997</v>
      </c>
      <c r="AK37" s="13">
        <f t="shared" si="35"/>
        <v>34.110483018610772</v>
      </c>
      <c r="AL37" s="20">
        <f t="shared" si="4"/>
        <v>286.68614125741368</v>
      </c>
      <c r="AM37" s="59">
        <f t="shared" si="5"/>
        <v>580.019474590747</v>
      </c>
      <c r="AN37" s="59">
        <f ca="1">AVERAGE(OFFSET($AM$3,0,0,'Données projet'!$E$10+1,1))-AVERAGE(OFFSET($H$3,0,0,'Données projet'!$E$10+1,1))</f>
        <v>207.02306964567629</v>
      </c>
      <c r="AO37" s="59">
        <f t="shared" si="36"/>
        <v>342.06887933351783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18.194387038027049</v>
      </c>
      <c r="AV37" s="21">
        <f>EXP(-LN(2)/25)*AV36+(1-EXP(-LN(2)/25))/(LN(2)/25)*Calculateur!AQ37*Calculateur!AS37*VLOOKUP('Données projet'!$B$10,Paramètres!$A$1:$I$89,3,0)*0.475*44/12</f>
        <v>38.480286651360053</v>
      </c>
      <c r="AW37" s="21">
        <f>EXP(-LN(2)/2)*AW36+(1-EXP(-LN(2)/2))/(LN(2)/2)*AQ37*AT37*VLOOKUP('Données projet'!$B$10,Paramètres!$A$1:$I$89,3,0)*0.475*44/12</f>
        <v>2.7992661603487852</v>
      </c>
      <c r="AX37" s="21">
        <f t="shared" si="6"/>
        <v>59.473939849735892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42</v>
      </c>
      <c r="BD37" s="12">
        <f>IF('Données projet'!$A$88&gt;35,BD36+BC37-BL36,IF(A37&lt;'Données projet'!$A$88,$BA$205^A37,IF(A37='Données projet'!$A$88,'Données projet'!$B$88,BD36+BC37-BL36)))</f>
        <v>544</v>
      </c>
      <c r="BE37" s="13">
        <f>BD37*VLOOKUP('Données projet'!$B$11,Paramètres!$A$1:$I$89,3,0)*VLOOKUP('Données projet'!$B$11,Paramètres!$A$1:$I$89,5,0)</f>
        <v>254.59200000000001</v>
      </c>
      <c r="BF37" s="13">
        <f t="shared" si="37"/>
        <v>61.568204482621567</v>
      </c>
      <c r="BG37" s="20">
        <f t="shared" si="7"/>
        <v>550.64568947389932</v>
      </c>
      <c r="BH37" s="59">
        <f t="shared" si="8"/>
        <v>843.9790228072327</v>
      </c>
      <c r="BI37" s="59">
        <f ca="1">AVERAGE(OFFSET($BH$3,0,0,'Données projet'!$E$11+1,1))-AVERAGE(OFFSET($H$3,0,0,'Données projet'!$E$11+1,1))</f>
        <v>345.45636360520137</v>
      </c>
      <c r="BJ37" s="59">
        <f t="shared" si="38"/>
        <v>469.30074822262549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12.453513436440169</v>
      </c>
      <c r="BQ37" s="21">
        <f>EXP(-LN(2)/25)*BQ36+(1-EXP(-LN(2)/25))/(LN(2)/25)*Calculateur!BL37*Calculateur!BN37*VLOOKUP('Données projet'!$B$11,Paramètres!$A$1:$I$89,3,0)*0.475*44/12</f>
        <v>16.505478686273729</v>
      </c>
      <c r="BR37" s="21">
        <f>EXP(-LN(2)/2)*BR36+(1-EXP(-LN(2)/2))/(LN(2)/2)*BL37*BO37*VLOOKUP('Données projet'!$B$11,Paramètres!$A$1:$I$89,3,0)*0.475*44/12</f>
        <v>1.9133133854226676</v>
      </c>
      <c r="BS37" s="22">
        <f t="shared" si="9"/>
        <v>30.872305508136566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616</v>
      </c>
      <c r="L38" s="12">
        <f>VLOOKUP(A38,'Données projet'!$A$35:$I$55,9,0)</f>
        <v>24.6</v>
      </c>
      <c r="M38" s="12">
        <f t="array" ref="M38">INDEX(L:L,MIN(IF(ISNUMBER(L38:L234),ROW(L38:L234),"")))</f>
        <v>24.6</v>
      </c>
      <c r="N38" s="13">
        <f>IF('Données projet'!$A$36&gt;35,N37+M38-V37,IF(A38&lt;'Données projet'!$A$36,$K$205^A38,IF(A38='Données projet'!$A$36,'Données projet'!$B$36,N37+M38-V37)))</f>
        <v>616</v>
      </c>
      <c r="O38" s="13">
        <f>N38*VLOOKUP('Données projet'!$B$9,Paramètres!$A$1:$I$89,3,0)*VLOOKUP('Données projet'!$B$9,Paramètres!$A$1:$I$89,5,0)</f>
        <v>344.34399999999999</v>
      </c>
      <c r="P38" s="13">
        <f t="shared" si="33"/>
        <v>80.396780105945552</v>
      </c>
      <c r="Q38" s="20">
        <f t="shared" si="53"/>
        <v>739.75685868452183</v>
      </c>
      <c r="R38" s="59">
        <f t="shared" si="0"/>
        <v>1033.0901920178551</v>
      </c>
      <c r="S38" s="59">
        <f ca="1">AVERAGE(OFFSET($R$3,0,0,'Données projet'!$E$9+1,1))-AVERAGE(OFFSET($H$3,0,0,'Données projet'!$E$9+1,1))</f>
        <v>534.78683721545372</v>
      </c>
      <c r="T38" s="59">
        <f t="shared" si="34"/>
        <v>710.59298755711075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72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6.8223633016192622</v>
      </c>
      <c r="AA38" s="21">
        <f>EXP(-LN(2)/25)*AA37+(1-EXP(-LN(2)/25))/(LN(2)/25)*Calculateur!V38*Calculateur!X38*VLOOKUP('Données projet'!$B$9,Paramètres!$A$1:$I$89,3,0)*0.475*44/12</f>
        <v>17.738509379143661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24.560872680762923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</v>
      </c>
      <c r="AI38" s="13">
        <f>IF('Données projet'!$A$62&gt;35,AI37+AH38-AQ37,IF(A38&lt;'Données projet'!$A$62,$AF$205^A38,IF(A38='Données projet'!$A$62,'Données projet'!$B$62,AI37+AH38-AQ37)))</f>
        <v>253.99999999999994</v>
      </c>
      <c r="AJ38" s="13">
        <f>AI38*VLOOKUP('Données projet'!$B$10,Paramètres!$A$1:$I$89,3,0)*VLOOKUP('Données projet'!$B$10,Paramètres!$A$1:$I$89,5,0)</f>
        <v>138.68399999999997</v>
      </c>
      <c r="AK38" s="13">
        <f t="shared" si="35"/>
        <v>35.995362862956796</v>
      </c>
      <c r="AL38" s="20">
        <f t="shared" si="4"/>
        <v>304.23322365298299</v>
      </c>
      <c r="AM38" s="59">
        <f t="shared" si="5"/>
        <v>597.5665569863163</v>
      </c>
      <c r="AN38" s="59">
        <f ca="1">AVERAGE(OFFSET($AM$3,0,0,'Données projet'!$E$10+1,1))-AVERAGE(OFFSET($H$3,0,0,'Données projet'!$E$10+1,1))</f>
        <v>207.02306964567629</v>
      </c>
      <c r="AO38" s="59">
        <f t="shared" si="36"/>
        <v>342.06887933351783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17.837606205691646</v>
      </c>
      <c r="AV38" s="21">
        <f>EXP(-LN(2)/25)*AV37+(1-EXP(-LN(2)/25))/(LN(2)/25)*Calculateur!AQ38*Calculateur!AS38*VLOOKUP('Données projet'!$B$10,Paramètres!$A$1:$I$89,3,0)*0.475*44/12</f>
        <v>37.428041189288287</v>
      </c>
      <c r="AW38" s="21">
        <f>EXP(-LN(2)/2)*AW37+(1-EXP(-LN(2)/2))/(LN(2)/2)*AQ38*AT38*VLOOKUP('Données projet'!$B$10,Paramètres!$A$1:$I$89,3,0)*0.475*44/12</f>
        <v>1.9793800843286555</v>
      </c>
      <c r="AX38" s="21">
        <f t="shared" si="6"/>
        <v>57.24502747930859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42</v>
      </c>
      <c r="BD38" s="12">
        <f>IF('Données projet'!$A$88&gt;35,BD37+BC38-BL37,IF(A38&lt;'Données projet'!$A$88,$BA$205^A38,IF(A38='Données projet'!$A$88,'Données projet'!$B$88,BD37+BC38-BL37)))</f>
        <v>586</v>
      </c>
      <c r="BE38" s="13">
        <f>BD38*VLOOKUP('Données projet'!$B$11,Paramètres!$A$1:$I$89,3,0)*VLOOKUP('Données projet'!$B$11,Paramètres!$A$1:$I$89,5,0)</f>
        <v>274.24799999999999</v>
      </c>
      <c r="BF38" s="13">
        <f t="shared" si="37"/>
        <v>65.749981378063481</v>
      </c>
      <c r="BG38" s="20">
        <f t="shared" si="7"/>
        <v>592.16315090012722</v>
      </c>
      <c r="BH38" s="59">
        <f t="shared" si="8"/>
        <v>885.49648423346048</v>
      </c>
      <c r="BI38" s="59">
        <f ca="1">AVERAGE(OFFSET($BH$3,0,0,'Données projet'!$E$11+1,1))-AVERAGE(OFFSET($H$3,0,0,'Données projet'!$E$11+1,1))</f>
        <v>345.45636360520137</v>
      </c>
      <c r="BJ38" s="59">
        <f t="shared" si="38"/>
        <v>469.30074822262549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12.209307633844741</v>
      </c>
      <c r="BQ38" s="21">
        <f>EXP(-LN(2)/25)*BQ37+(1-EXP(-LN(2)/25))/(LN(2)/25)*Calculateur!BL38*Calculateur!BN38*VLOOKUP('Données projet'!$B$11,Paramètres!$A$1:$I$89,3,0)*0.475*44/12</f>
        <v>16.054135503612173</v>
      </c>
      <c r="BR38" s="21">
        <f>EXP(-LN(2)/2)*BR37+(1-EXP(-LN(2)/2))/(LN(2)/2)*BL38*BO38*VLOOKUP('Données projet'!$B$11,Paramètres!$A$1:$I$89,3,0)*0.475*44/12</f>
        <v>1.3529168693673588</v>
      </c>
      <c r="BS38" s="22">
        <f t="shared" si="9"/>
        <v>29.616360006824273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</v>
      </c>
      <c r="N39" s="13">
        <f>IF('Données projet'!$A$36&gt;35,N38+M39-V38,IF(A39&lt;'Données projet'!$A$36,$K$205^A39,IF(A39='Données projet'!$A$36,'Données projet'!$B$36,N38+M39-V38)))</f>
        <v>566</v>
      </c>
      <c r="O39" s="13">
        <f>N39*VLOOKUP('Données projet'!$B$9,Paramètres!$A$1:$I$89,3,0)*VLOOKUP('Données projet'!$B$9,Paramètres!$A$1:$I$89,5,0)</f>
        <v>316.39400000000001</v>
      </c>
      <c r="P39" s="13">
        <f t="shared" si="33"/>
        <v>74.602561081494827</v>
      </c>
      <c r="Q39" s="20">
        <f t="shared" si="53"/>
        <v>680.98567721693689</v>
      </c>
      <c r="R39" s="59">
        <f t="shared" si="0"/>
        <v>974.31901055027015</v>
      </c>
      <c r="S39" s="59">
        <f ca="1">AVERAGE(OFFSET($R$3,0,0,'Données projet'!$E$9+1,1))-AVERAGE(OFFSET($H$3,0,0,'Données projet'!$E$9+1,1))</f>
        <v>534.78683721545372</v>
      </c>
      <c r="T39" s="59">
        <f t="shared" si="34"/>
        <v>710.59298755711075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6.6885809185052354</v>
      </c>
      <c r="AA39" s="21">
        <f>EXP(-LN(2)/25)*AA38+(1-EXP(-LN(2)/25))/(LN(2)/25)*Calculateur!V39*Calculateur!X39*VLOOKUP('Données projet'!$B$9,Paramètres!$A$1:$I$89,3,0)*0.475*44/12</f>
        <v>17.253448907343312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23.942029825848547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269</v>
      </c>
      <c r="AG39" s="12">
        <f>VLOOKUP(A39,'Données projet'!$A$61:$I$81,9,0)</f>
        <v>15</v>
      </c>
      <c r="AH39" s="12">
        <f t="array" ref="AH39">INDEX(AG:AG,MIN(IF(ISNUMBER(AG39:AG235),ROW(AG39:AG235),"")))</f>
        <v>15</v>
      </c>
      <c r="AI39" s="13">
        <f>IF('Données projet'!$A$62&gt;35,AI38+AH39-AQ38,IF(A39&lt;'Données projet'!$A$62,$AF$205^A39,IF(A39='Données projet'!$A$62,'Données projet'!$B$62,AI38+AH39-AQ38)))</f>
        <v>268.99999999999994</v>
      </c>
      <c r="AJ39" s="13">
        <f>AI39*VLOOKUP('Données projet'!$B$10,Paramètres!$A$1:$I$89,3,0)*VLOOKUP('Données projet'!$B$10,Paramètres!$A$1:$I$89,5,0)</f>
        <v>146.87399999999997</v>
      </c>
      <c r="AK39" s="13">
        <f t="shared" si="35"/>
        <v>37.867322517591383</v>
      </c>
      <c r="AL39" s="20">
        <f t="shared" si="4"/>
        <v>321.75780338480496</v>
      </c>
      <c r="AM39" s="59">
        <f t="shared" si="5"/>
        <v>615.09113671813827</v>
      </c>
      <c r="AN39" s="59">
        <f ca="1">AVERAGE(OFFSET($AM$3,0,0,'Données projet'!$E$10+1,1))-AVERAGE(OFFSET($H$3,0,0,'Données projet'!$E$10+1,1))</f>
        <v>207.02306964567629</v>
      </c>
      <c r="AO39" s="59">
        <f t="shared" si="36"/>
        <v>342.06887933351783</v>
      </c>
      <c r="AP39" s="15">
        <f>IF(ISNA(VLOOKUP(A39,'Données projet'!$A$61:$I$81,3,0)),0,VLOOKUP(A39,'Données projet'!$A$61:$I$81,3,0))</f>
        <v>6</v>
      </c>
      <c r="AQ39" s="15">
        <f>IF(ISNA(VLOOKUP(A39,'Données projet'!$A$61:$I$81,4,0)),0,VLOOKUP(A39,'Données projet'!$A$61:$I$81,4,0))</f>
        <v>75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17.487821627863521</v>
      </c>
      <c r="AV39" s="21">
        <f>EXP(-LN(2)/25)*AV38+(1-EXP(-LN(2)/25))/(LN(2)/25)*Calculateur!AQ39*Calculateur!AS39*VLOOKUP('Données projet'!$B$10,Paramètres!$A$1:$I$89,3,0)*0.475*44/12</f>
        <v>36.404569434712059</v>
      </c>
      <c r="AW39" s="21">
        <f>EXP(-LN(2)/2)*AW38+(1-EXP(-LN(2)/2))/(LN(2)/2)*AQ39*AT39*VLOOKUP('Données projet'!$B$10,Paramètres!$A$1:$I$89,3,0)*0.475*44/12</f>
        <v>1.3996330801743928</v>
      </c>
      <c r="AX39" s="21">
        <f t="shared" si="6"/>
        <v>55.292024142749973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628</v>
      </c>
      <c r="BB39" s="12">
        <f>VLOOKUP(A39,'Données projet'!$A$87:$I$107,9,0)</f>
        <v>42</v>
      </c>
      <c r="BC39" s="12">
        <f t="array" ref="BC39">INDEX(BB:BB,MIN(IF(ISNUMBER(BB39:BB235),ROW(BB39:BB235),"")))</f>
        <v>42</v>
      </c>
      <c r="BD39" s="12">
        <f>IF('Données projet'!$A$88&gt;35,BD38+BC39-BL38,IF(A39&lt;'Données projet'!$A$88,$BA$205^A39,IF(A39='Données projet'!$A$88,'Données projet'!$B$88,BD38+BC39-BL38)))</f>
        <v>628</v>
      </c>
      <c r="BE39" s="13">
        <f>BD39*VLOOKUP('Données projet'!$B$11,Paramètres!$A$1:$I$89,3,0)*VLOOKUP('Données projet'!$B$11,Paramètres!$A$1:$I$89,5,0)</f>
        <v>293.904</v>
      </c>
      <c r="BF39" s="13">
        <f t="shared" si="37"/>
        <v>69.896984831773324</v>
      </c>
      <c r="BG39" s="20">
        <f t="shared" si="7"/>
        <v>633.62004858200532</v>
      </c>
      <c r="BH39" s="59">
        <f t="shared" si="8"/>
        <v>926.9533819153387</v>
      </c>
      <c r="BI39" s="59">
        <f ca="1">AVERAGE(OFFSET($BH$3,0,0,'Données projet'!$E$11+1,1))-AVERAGE(OFFSET($H$3,0,0,'Données projet'!$E$11+1,1))</f>
        <v>345.45636360520137</v>
      </c>
      <c r="BJ39" s="59">
        <f t="shared" si="38"/>
        <v>469.30074822262549</v>
      </c>
      <c r="BK39" s="15">
        <f>IF(ISNA(VLOOKUP(A39,'Données projet'!$A$87:$I$107,3,0)),0,VLOOKUP(A39,'Données projet'!$A$87:$I$107,3,0))</f>
        <v>6</v>
      </c>
      <c r="BL39" s="15">
        <f>IF(ISNA(VLOOKUP(A39,'Données projet'!$A$87:$I$107,4,0)),0,VLOOKUP(A39,'Données projet'!$A$87:$I$107,4,0))</f>
        <v>78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11.969890558087378</v>
      </c>
      <c r="BQ39" s="21">
        <f>EXP(-LN(2)/25)*BQ38+(1-EXP(-LN(2)/25))/(LN(2)/25)*Calculateur!BL39*Calculateur!BN39*VLOOKUP('Données projet'!$B$11,Paramètres!$A$1:$I$89,3,0)*0.475*44/12</f>
        <v>15.615134324015605</v>
      </c>
      <c r="BR39" s="21">
        <f>EXP(-LN(2)/2)*BR38+(1-EXP(-LN(2)/2))/(LN(2)/2)*BL39*BO39*VLOOKUP('Données projet'!$B$11,Paramètres!$A$1:$I$89,3,0)*0.475*44/12</f>
        <v>0.95665669271133391</v>
      </c>
      <c r="BS39" s="22">
        <f t="shared" si="9"/>
        <v>28.541681574814319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</v>
      </c>
      <c r="N40" s="13">
        <f>IF('Données projet'!$A$36&gt;35,N39+M40-V39,IF(A40&lt;'Données projet'!$A$36,$K$205^A40,IF(A40='Données projet'!$A$36,'Données projet'!$B$36,N39+M40-V39)))</f>
        <v>588</v>
      </c>
      <c r="O40" s="13">
        <f>N40*VLOOKUP('Données projet'!$B$9,Paramètres!$A$1:$I$89,3,0)*VLOOKUP('Données projet'!$B$9,Paramètres!$A$1:$I$89,5,0)</f>
        <v>328.69200000000001</v>
      </c>
      <c r="P40" s="13">
        <f t="shared" si="33"/>
        <v>77.159062750651316</v>
      </c>
      <c r="Q40" s="20">
        <f t="shared" si="53"/>
        <v>706.85726762405102</v>
      </c>
      <c r="R40" s="59">
        <f t="shared" si="0"/>
        <v>1000.1906009573843</v>
      </c>
      <c r="S40" s="59">
        <f ca="1">AVERAGE(OFFSET($R$3,0,0,'Données projet'!$E$9+1,1))-AVERAGE(OFFSET($H$3,0,0,'Données projet'!$E$9+1,1))</f>
        <v>534.78683721545372</v>
      </c>
      <c r="T40" s="59">
        <f t="shared" si="34"/>
        <v>710.59298755711075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6.5574219263248779</v>
      </c>
      <c r="AA40" s="21">
        <f>EXP(-LN(2)/25)*AA39+(1-EXP(-LN(2)/25))/(LN(2)/25)*Calculateur!V40*Calculateur!X40*VLOOKUP('Données projet'!$B$9,Paramètres!$A$1:$I$89,3,0)*0.475*44/12</f>
        <v>16.781652439652564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23.339074365977442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</v>
      </c>
      <c r="AI40" s="13">
        <f>IF('Données projet'!$A$62&gt;35,AI39+AH40-AQ39,IF(A40&lt;'Données projet'!$A$62,$AF$205^A40,IF(A40='Données projet'!$A$62,'Données projet'!$B$62,AI39+AH40-AQ39)))</f>
        <v>207.99999999999994</v>
      </c>
      <c r="AJ40" s="13">
        <f>AI40*VLOOKUP('Données projet'!$B$10,Paramètres!$A$1:$I$89,3,0)*VLOOKUP('Données projet'!$B$10,Paramètres!$A$1:$I$89,5,0)</f>
        <v>113.56799999999997</v>
      </c>
      <c r="AK40" s="13">
        <f t="shared" si="35"/>
        <v>30.170065062058185</v>
      </c>
      <c r="AL40" s="20">
        <f t="shared" si="4"/>
        <v>250.34379664975128</v>
      </c>
      <c r="AM40" s="59">
        <f t="shared" si="5"/>
        <v>543.67712998308457</v>
      </c>
      <c r="AN40" s="59">
        <f ca="1">AVERAGE(OFFSET($AM$3,0,0,'Données projet'!$E$10+1,1))-AVERAGE(OFFSET($H$3,0,0,'Données projet'!$E$10+1,1))</f>
        <v>207.02306964567629</v>
      </c>
      <c r="AO40" s="59">
        <f t="shared" si="36"/>
        <v>342.06887933351783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17.14489611225908</v>
      </c>
      <c r="AV40" s="21">
        <f>EXP(-LN(2)/25)*AV39+(1-EXP(-LN(2)/25))/(LN(2)/25)*Calculateur!AQ40*Calculateur!AS40*VLOOKUP('Données projet'!$B$10,Paramètres!$A$1:$I$89,3,0)*0.475*44/12</f>
        <v>35.409084569086758</v>
      </c>
      <c r="AW40" s="21">
        <f>EXP(-LN(2)/2)*AW39+(1-EXP(-LN(2)/2))/(LN(2)/2)*AQ40*AT40*VLOOKUP('Données projet'!$B$10,Paramètres!$A$1:$I$89,3,0)*0.475*44/12</f>
        <v>0.98969004216432799</v>
      </c>
      <c r="AX40" s="21">
        <f t="shared" si="6"/>
        <v>53.543670723510161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36</v>
      </c>
      <c r="BD40" s="12">
        <f>IF('Données projet'!$A$88&gt;35,BD39+BC40-BL39,IF(A40&lt;'Données projet'!$A$88,$BA$205^A40,IF(A40='Données projet'!$A$88,'Données projet'!$B$88,BD39+BC40-BL39)))</f>
        <v>586</v>
      </c>
      <c r="BE40" s="13">
        <f>BD40*VLOOKUP('Données projet'!$B$11,Paramètres!$A$1:$I$89,3,0)*VLOOKUP('Données projet'!$B$11,Paramètres!$A$1:$I$89,5,0)</f>
        <v>274.24799999999999</v>
      </c>
      <c r="BF40" s="13">
        <f t="shared" si="37"/>
        <v>65.749981378063481</v>
      </c>
      <c r="BG40" s="20">
        <f t="shared" si="7"/>
        <v>592.16315090012722</v>
      </c>
      <c r="BH40" s="59">
        <f t="shared" si="8"/>
        <v>885.49648423346048</v>
      </c>
      <c r="BI40" s="59">
        <f ca="1">AVERAGE(OFFSET($BH$3,0,0,'Données projet'!$E$11+1,1))-AVERAGE(OFFSET($H$3,0,0,'Données projet'!$E$11+1,1))</f>
        <v>345.45636360520137</v>
      </c>
      <c r="BJ40" s="59">
        <f t="shared" si="38"/>
        <v>469.30074822262549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11.73516830515562</v>
      </c>
      <c r="BQ40" s="21">
        <f>EXP(-LN(2)/25)*BQ39+(1-EXP(-LN(2)/25))/(LN(2)/25)*Calculateur!BL40*Calculateur!BN40*VLOOKUP('Données projet'!$B$11,Paramètres!$A$1:$I$89,3,0)*0.475*44/12</f>
        <v>15.188137654761173</v>
      </c>
      <c r="BR40" s="21">
        <f>EXP(-LN(2)/2)*BR39+(1-EXP(-LN(2)/2))/(LN(2)/2)*BL40*BO40*VLOOKUP('Données projet'!$B$11,Paramètres!$A$1:$I$89,3,0)*0.475*44/12</f>
        <v>0.6764584346836795</v>
      </c>
      <c r="BS40" s="22">
        <f t="shared" si="9"/>
        <v>27.59976439460047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</v>
      </c>
      <c r="N41" s="13">
        <f>IF('Données projet'!$A$36&gt;35,N40+M41-V40,IF(A41&lt;'Données projet'!$A$36,$K$205^A41,IF(A41='Données projet'!$A$36,'Données projet'!$B$36,N40+M41-V40)))</f>
        <v>610</v>
      </c>
      <c r="O41" s="13">
        <f>N41*VLOOKUP('Données projet'!$B$9,Paramètres!$A$1:$I$89,3,0)*VLOOKUP('Données projet'!$B$9,Paramètres!$A$1:$I$89,5,0)</f>
        <v>340.99</v>
      </c>
      <c r="P41" s="13">
        <f t="shared" si="33"/>
        <v>79.704452064974646</v>
      </c>
      <c r="Q41" s="20">
        <f t="shared" si="53"/>
        <v>732.70950401316429</v>
      </c>
      <c r="R41" s="59">
        <f t="shared" si="0"/>
        <v>1026.0428373464977</v>
      </c>
      <c r="S41" s="59">
        <f ca="1">AVERAGE(OFFSET($R$3,0,0,'Données projet'!$E$9+1,1))-AVERAGE(OFFSET($H$3,0,0,'Données projet'!$E$9+1,1))</f>
        <v>534.78683721545372</v>
      </c>
      <c r="T41" s="59">
        <f t="shared" si="34"/>
        <v>710.59298755711075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6.4288348819820911</v>
      </c>
      <c r="AA41" s="21">
        <f>EXP(-LN(2)/25)*AA40+(1-EXP(-LN(2)/25))/(LN(2)/25)*Calculateur!V41*Calculateur!X41*VLOOKUP('Données projet'!$B$9,Paramètres!$A$1:$I$89,3,0)*0.475*44/12</f>
        <v>16.322757271181519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22.75159215316361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</v>
      </c>
      <c r="AI41" s="13">
        <f>IF('Données projet'!$A$62&gt;35,AI40+AH41-AQ40,IF(A41&lt;'Données projet'!$A$62,$AF$205^A41,IF(A41='Données projet'!$A$62,'Données projet'!$B$62,AI40+AH41-AQ40)))</f>
        <v>221.99999999999994</v>
      </c>
      <c r="AJ41" s="13">
        <f>AI41*VLOOKUP('Données projet'!$B$10,Paramètres!$A$1:$I$89,3,0)*VLOOKUP('Données projet'!$B$10,Paramètres!$A$1:$I$89,5,0)</f>
        <v>121.21199999999996</v>
      </c>
      <c r="AK41" s="13">
        <f t="shared" si="35"/>
        <v>31.95751284761706</v>
      </c>
      <c r="AL41" s="20">
        <f t="shared" si="4"/>
        <v>266.77023487626633</v>
      </c>
      <c r="AM41" s="59">
        <f t="shared" si="5"/>
        <v>560.10356820959964</v>
      </c>
      <c r="AN41" s="59">
        <f ca="1">AVERAGE(OFFSET($AM$3,0,0,'Données projet'!$E$10+1,1))-AVERAGE(OFFSET($H$3,0,0,'Données projet'!$E$10+1,1))</f>
        <v>207.02306964567629</v>
      </c>
      <c r="AO41" s="59">
        <f t="shared" si="36"/>
        <v>342.06887933351783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16.80869515685173</v>
      </c>
      <c r="AV41" s="21">
        <f>EXP(-LN(2)/25)*AV40+(1-EXP(-LN(2)/25))/(LN(2)/25)*Calculateur!AQ41*Calculateur!AS41*VLOOKUP('Données projet'!$B$10,Paramètres!$A$1:$I$89,3,0)*0.475*44/12</f>
        <v>34.440821289462249</v>
      </c>
      <c r="AW41" s="21">
        <f>EXP(-LN(2)/2)*AW40+(1-EXP(-LN(2)/2))/(LN(2)/2)*AQ41*AT41*VLOOKUP('Données projet'!$B$10,Paramètres!$A$1:$I$89,3,0)*0.475*44/12</f>
        <v>0.69981654008719651</v>
      </c>
      <c r="AX41" s="21">
        <f t="shared" si="6"/>
        <v>51.949332986401174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36</v>
      </c>
      <c r="BD41" s="12">
        <f>IF('Données projet'!$A$88&gt;35,BD40+BC41-BL40,IF(A41&lt;'Données projet'!$A$88,$BA$205^A41,IF(A41='Données projet'!$A$88,'Données projet'!$B$88,BD40+BC41-BL40)))</f>
        <v>622</v>
      </c>
      <c r="BE41" s="13">
        <f>BD41*VLOOKUP('Données projet'!$B$11,Paramètres!$A$1:$I$89,3,0)*VLOOKUP('Données projet'!$B$11,Paramètres!$A$1:$I$89,5,0)</f>
        <v>291.096</v>
      </c>
      <c r="BF41" s="13">
        <f t="shared" si="37"/>
        <v>69.306582531434373</v>
      </c>
      <c r="BG41" s="20">
        <f t="shared" si="7"/>
        <v>627.70116457558152</v>
      </c>
      <c r="BH41" s="59">
        <f t="shared" si="8"/>
        <v>921.03449790891477</v>
      </c>
      <c r="BI41" s="59">
        <f ca="1">AVERAGE(OFFSET($BH$3,0,0,'Données projet'!$E$11+1,1))-AVERAGE(OFFSET($H$3,0,0,'Données projet'!$E$11+1,1))</f>
        <v>345.45636360520137</v>
      </c>
      <c r="BJ41" s="59">
        <f t="shared" si="38"/>
        <v>469.30074822262549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11.505048812437416</v>
      </c>
      <c r="BQ41" s="21">
        <f>EXP(-LN(2)/25)*BQ40+(1-EXP(-LN(2)/25))/(LN(2)/25)*Calculateur!BL41*Calculateur!BN41*VLOOKUP('Données projet'!$B$11,Paramètres!$A$1:$I$89,3,0)*0.475*44/12</f>
        <v>14.772817231882282</v>
      </c>
      <c r="BR41" s="21">
        <f>EXP(-LN(2)/2)*BR40+(1-EXP(-LN(2)/2))/(LN(2)/2)*BL41*BO41*VLOOKUP('Données projet'!$B$11,Paramètres!$A$1:$I$89,3,0)*0.475*44/12</f>
        <v>0.47832834635566707</v>
      </c>
      <c r="BS41" s="22">
        <f t="shared" si="9"/>
        <v>26.756194390675365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</v>
      </c>
      <c r="N42" s="13">
        <f>IF('Données projet'!$A$36&gt;35,N41+M42-V41,IF(A42&lt;'Données projet'!$A$36,$K$205^A42,IF(A42='Données projet'!$A$36,'Données projet'!$B$36,N41+M42-V41)))</f>
        <v>632</v>
      </c>
      <c r="O42" s="13">
        <f>N42*VLOOKUP('Données projet'!$B$9,Paramètres!$A$1:$I$89,3,0)*VLOOKUP('Données projet'!$B$9,Paramètres!$A$1:$I$89,5,0)</f>
        <v>353.28800000000001</v>
      </c>
      <c r="P42" s="13">
        <f t="shared" si="33"/>
        <v>82.239175707062913</v>
      </c>
      <c r="Q42" s="20">
        <f t="shared" si="53"/>
        <v>758.54316435646797</v>
      </c>
      <c r="R42" s="59">
        <f t="shared" si="0"/>
        <v>1051.8764976898012</v>
      </c>
      <c r="S42" s="59">
        <f ca="1">AVERAGE(OFFSET($R$3,0,0,'Données projet'!$E$9+1,1))-AVERAGE(OFFSET($H$3,0,0,'Données projet'!$E$9+1,1))</f>
        <v>534.78683721545372</v>
      </c>
      <c r="T42" s="59">
        <f t="shared" si="34"/>
        <v>710.59298755711075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6.3027693511485134</v>
      </c>
      <c r="AA42" s="21">
        <f>EXP(-LN(2)/25)*AA41+(1-EXP(-LN(2)/25))/(LN(2)/25)*Calculateur!V42*Calculateur!X42*VLOOKUP('Données projet'!$B$9,Paramètres!$A$1:$I$89,3,0)*0.475*44/12</f>
        <v>15.876410615224561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22.179179966373074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</v>
      </c>
      <c r="AI42" s="13">
        <f>IF('Données projet'!$A$62&gt;35,AI41+AH42-AQ41,IF(A42&lt;'Données projet'!$A$62,$AF$205^A42,IF(A42='Données projet'!$A$62,'Données projet'!$B$62,AI41+AH42-AQ41)))</f>
        <v>235.99999999999994</v>
      </c>
      <c r="AJ42" s="13">
        <f>AI42*VLOOKUP('Données projet'!$B$10,Paramètres!$A$1:$I$89,3,0)*VLOOKUP('Données projet'!$B$10,Paramètres!$A$1:$I$89,5,0)</f>
        <v>128.85599999999997</v>
      </c>
      <c r="AK42" s="13">
        <f t="shared" si="35"/>
        <v>33.731878688740906</v>
      </c>
      <c r="AL42" s="20">
        <f t="shared" si="4"/>
        <v>283.1738887162237</v>
      </c>
      <c r="AM42" s="59">
        <f t="shared" si="5"/>
        <v>576.50722204955696</v>
      </c>
      <c r="AN42" s="59">
        <f ca="1">AVERAGE(OFFSET($AM$3,0,0,'Données projet'!$E$10+1,1))-AVERAGE(OFFSET($H$3,0,0,'Données projet'!$E$10+1,1))</f>
        <v>207.02306964567629</v>
      </c>
      <c r="AO42" s="59">
        <f t="shared" si="36"/>
        <v>342.06887933351783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16.479086897117583</v>
      </c>
      <c r="AV42" s="21">
        <f>EXP(-LN(2)/25)*AV41+(1-EXP(-LN(2)/25))/(LN(2)/25)*Calculateur!AQ42*Calculateur!AS42*VLOOKUP('Données projet'!$B$10,Paramètres!$A$1:$I$89,3,0)*0.475*44/12</f>
        <v>33.499035220137827</v>
      </c>
      <c r="AW42" s="21">
        <f>EXP(-LN(2)/2)*AW41+(1-EXP(-LN(2)/2))/(LN(2)/2)*AQ42*AT42*VLOOKUP('Données projet'!$B$10,Paramètres!$A$1:$I$89,3,0)*0.475*44/12</f>
        <v>0.49484502108216405</v>
      </c>
      <c r="AX42" s="21">
        <f t="shared" si="6"/>
        <v>50.472967138337573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36</v>
      </c>
      <c r="BD42" s="12">
        <f>IF('Données projet'!$A$88&gt;35,BD41+BC42-BL41,IF(A42&lt;'Données projet'!$A$88,$BA$205^A42,IF(A42='Données projet'!$A$88,'Données projet'!$B$88,BD41+BC42-BL41)))</f>
        <v>658</v>
      </c>
      <c r="BE42" s="13">
        <f>BD42*VLOOKUP('Données projet'!$B$11,Paramètres!$A$1:$I$89,3,0)*VLOOKUP('Données projet'!$B$11,Paramètres!$A$1:$I$89,5,0)</f>
        <v>307.94400000000002</v>
      </c>
      <c r="BF42" s="13">
        <f t="shared" si="37"/>
        <v>72.839289392732184</v>
      </c>
      <c r="BG42" s="20">
        <f t="shared" si="7"/>
        <v>663.19756235900854</v>
      </c>
      <c r="BH42" s="59">
        <f t="shared" si="8"/>
        <v>956.5308956923418</v>
      </c>
      <c r="BI42" s="59">
        <f ca="1">AVERAGE(OFFSET($BH$3,0,0,'Données projet'!$E$11+1,1))-AVERAGE(OFFSET($H$3,0,0,'Données projet'!$E$11+1,1))</f>
        <v>345.45636360520137</v>
      </c>
      <c r="BJ42" s="59">
        <f t="shared" si="38"/>
        <v>469.30074822262549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11.279441822612384</v>
      </c>
      <c r="BQ42" s="21">
        <f>EXP(-LN(2)/25)*BQ41+(1-EXP(-LN(2)/25))/(LN(2)/25)*Calculateur!BL42*Calculateur!BN42*VLOOKUP('Données projet'!$B$11,Paramètres!$A$1:$I$89,3,0)*0.475*44/12</f>
        <v>14.368853767807767</v>
      </c>
      <c r="BR42" s="21">
        <f>EXP(-LN(2)/2)*BR41+(1-EXP(-LN(2)/2))/(LN(2)/2)*BL42*BO42*VLOOKUP('Données projet'!$B$11,Paramètres!$A$1:$I$89,3,0)*0.475*44/12</f>
        <v>0.33822921734183981</v>
      </c>
      <c r="BS42" s="22">
        <f t="shared" si="9"/>
        <v>25.986524807761992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654</v>
      </c>
      <c r="L43" s="12">
        <f>VLOOKUP(A43,'Données projet'!$A$35:$I$55,9,0)</f>
        <v>22</v>
      </c>
      <c r="M43" s="12">
        <f t="array" ref="M43">INDEX(L:L,MIN(IF(ISNUMBER(L43:L239),ROW(L43:L239),"")))</f>
        <v>22</v>
      </c>
      <c r="N43" s="13">
        <f>IF('Données projet'!$A$36&gt;35,N42+M43-V42,IF(A43&lt;'Données projet'!$A$36,$K$205^A43,IF(A43='Données projet'!$A$36,'Données projet'!$B$36,N42+M43-V42)))</f>
        <v>654</v>
      </c>
      <c r="O43" s="13">
        <f>N43*VLOOKUP('Données projet'!$B$9,Paramètres!$A$1:$I$89,3,0)*VLOOKUP('Données projet'!$B$9,Paramètres!$A$1:$I$89,5,0)</f>
        <v>365.58599999999996</v>
      </c>
      <c r="P43" s="13">
        <f t="shared" si="33"/>
        <v>84.763647497813551</v>
      </c>
      <c r="Q43" s="20">
        <f t="shared" si="53"/>
        <v>784.35896939202519</v>
      </c>
      <c r="R43" s="59">
        <f t="shared" si="0"/>
        <v>1077.6923027253586</v>
      </c>
      <c r="S43" s="59">
        <f ca="1">AVERAGE(OFFSET($R$3,0,0,'Données projet'!$E$9+1,1))-AVERAGE(OFFSET($H$3,0,0,'Données projet'!$E$9+1,1))</f>
        <v>534.78683721545372</v>
      </c>
      <c r="T43" s="59">
        <f t="shared" si="34"/>
        <v>710.59298755711075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79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6.1791758884822015</v>
      </c>
      <c r="AA43" s="21">
        <f>EXP(-LN(2)/25)*AA42+(1-EXP(-LN(2)/25))/(LN(2)/25)*Calculateur!V43*Calculateur!X43*VLOOKUP('Données projet'!$B$9,Paramètres!$A$1:$I$89,3,0)*0.475*44/12</f>
        <v>15.442269332047097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21.621445220529299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14</v>
      </c>
      <c r="AI43" s="13">
        <f>IF('Données projet'!$A$62&gt;35,AI42+AH43-AQ42,IF(A43&lt;'Données projet'!$A$62,$AF$205^A43,IF(A43='Données projet'!$A$62,'Données projet'!$B$62,AI42+AH43-AQ42)))</f>
        <v>249.99999999999994</v>
      </c>
      <c r="AJ43" s="13">
        <f>AI43*VLOOKUP('Données projet'!$B$10,Paramètres!$A$1:$I$89,3,0)*VLOOKUP('Données projet'!$B$10,Paramètres!$A$1:$I$89,5,0)</f>
        <v>136.49999999999997</v>
      </c>
      <c r="AK43" s="13">
        <f t="shared" si="35"/>
        <v>35.494027024087352</v>
      </c>
      <c r="AL43" s="20">
        <f t="shared" si="4"/>
        <v>299.55626373361878</v>
      </c>
      <c r="AM43" s="59">
        <f t="shared" si="5"/>
        <v>592.88959706695209</v>
      </c>
      <c r="AN43" s="59">
        <f ca="1">AVERAGE(OFFSET($AM$3,0,0,'Données projet'!$E$10+1,1))-AVERAGE(OFFSET($H$3,0,0,'Données projet'!$E$10+1,1))</f>
        <v>207.02306964567629</v>
      </c>
      <c r="AO43" s="59">
        <f t="shared" si="36"/>
        <v>342.06887933351783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16.155942054315634</v>
      </c>
      <c r="AV43" s="21">
        <f>EXP(-LN(2)/25)*AV42+(1-EXP(-LN(2)/25))/(LN(2)/25)*Calculateur!AQ43*Calculateur!AS43*VLOOKUP('Données projet'!$B$10,Paramètres!$A$1:$I$89,3,0)*0.475*44/12</f>
        <v>32.583002340405457</v>
      </c>
      <c r="AW43" s="21">
        <f>EXP(-LN(2)/2)*AW42+(1-EXP(-LN(2)/2))/(LN(2)/2)*AQ43*AT43*VLOOKUP('Données projet'!$B$10,Paramètres!$A$1:$I$89,3,0)*0.475*44/12</f>
        <v>0.34990827004359831</v>
      </c>
      <c r="AX43" s="21">
        <f t="shared" si="6"/>
        <v>49.088852664764687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36</v>
      </c>
      <c r="BD43" s="12">
        <f>IF('Données projet'!$A$88&gt;35,BD42+BC43-BL42,IF(A43&lt;'Données projet'!$A$88,$BA$205^A43,IF(A43='Données projet'!$A$88,'Données projet'!$B$88,BD42+BC43-BL42)))</f>
        <v>694</v>
      </c>
      <c r="BE43" s="13">
        <f>BD43*VLOOKUP('Données projet'!$B$11,Paramètres!$A$1:$I$89,3,0)*VLOOKUP('Données projet'!$B$11,Paramètres!$A$1:$I$89,5,0)</f>
        <v>324.79200000000003</v>
      </c>
      <c r="BF43" s="13">
        <f t="shared" si="37"/>
        <v>76.349558270976459</v>
      </c>
      <c r="BG43" s="20">
        <f t="shared" si="7"/>
        <v>698.65488065528405</v>
      </c>
      <c r="BH43" s="59">
        <f t="shared" si="8"/>
        <v>991.98821398861742</v>
      </c>
      <c r="BI43" s="59">
        <f ca="1">AVERAGE(OFFSET($BH$3,0,0,'Données projet'!$E$11+1,1))-AVERAGE(OFFSET($H$3,0,0,'Données projet'!$E$11+1,1))</f>
        <v>345.45636360520137</v>
      </c>
      <c r="BJ43" s="59">
        <f t="shared" si="38"/>
        <v>469.30074822262549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11.058258848251144</v>
      </c>
      <c r="BQ43" s="21">
        <f>EXP(-LN(2)/25)*BQ42+(1-EXP(-LN(2)/25))/(LN(2)/25)*Calculateur!BL43*Calculateur!BN43*VLOOKUP('Données projet'!$B$11,Paramètres!$A$1:$I$89,3,0)*0.475*44/12</f>
        <v>13.975936705901885</v>
      </c>
      <c r="BR43" s="21">
        <f>EXP(-LN(2)/2)*BR42+(1-EXP(-LN(2)/2))/(LN(2)/2)*BL43*BO43*VLOOKUP('Données projet'!$B$11,Paramètres!$A$1:$I$89,3,0)*0.475*44/12</f>
        <v>0.23916417317783356</v>
      </c>
      <c r="BS43" s="22">
        <f t="shared" si="9"/>
        <v>25.273359727330863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20.399999999999999</v>
      </c>
      <c r="N44" s="13">
        <f>IF('Données projet'!$A$36&gt;35,N43+M44-V43,IF(A44&lt;'Données projet'!$A$36,$K$205^A44,IF(A44='Données projet'!$A$36,'Données projet'!$B$36,N43+M44-V43)))</f>
        <v>595.4</v>
      </c>
      <c r="O44" s="13">
        <f>N44*VLOOKUP('Données projet'!$B$9,Paramètres!$A$1:$I$89,3,0)*VLOOKUP('Données projet'!$B$9,Paramètres!$A$1:$I$89,5,0)</f>
        <v>332.82859999999999</v>
      </c>
      <c r="P44" s="13">
        <f t="shared" si="33"/>
        <v>78.016456494733006</v>
      </c>
      <c r="Q44" s="20">
        <f t="shared" si="53"/>
        <v>715.55514006165993</v>
      </c>
      <c r="R44" s="59">
        <f t="shared" si="0"/>
        <v>1008.8884733949933</v>
      </c>
      <c r="S44" s="59">
        <f ca="1">AVERAGE(OFFSET($R$3,0,0,'Données projet'!$E$9+1,1))-AVERAGE(OFFSET($H$3,0,0,'Données projet'!$E$9+1,1))</f>
        <v>534.78683721545372</v>
      </c>
      <c r="T44" s="59">
        <f t="shared" si="34"/>
        <v>710.59298755711075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6.0580060182342068</v>
      </c>
      <c r="AA44" s="21">
        <f>EXP(-LN(2)/25)*AA43+(1-EXP(-LN(2)/25))/(LN(2)/25)*Calculateur!V44*Calculateur!X44*VLOOKUP('Données projet'!$B$9,Paramètres!$A$1:$I$89,3,0)*0.475*44/12</f>
        <v>15.019999665088619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21.078005683322825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</v>
      </c>
      <c r="AI44" s="13">
        <f>IF('Données projet'!$A$62&gt;35,AI43+AH44-AQ43,IF(A44&lt;'Données projet'!$A$62,$AF$205^A44,IF(A44='Données projet'!$A$62,'Données projet'!$B$62,AI43+AH44-AQ43)))</f>
        <v>263.99999999999994</v>
      </c>
      <c r="AJ44" s="13">
        <f>AI44*VLOOKUP('Données projet'!$B$10,Paramètres!$A$1:$I$89,3,0)*VLOOKUP('Données projet'!$B$10,Paramètres!$A$1:$I$89,5,0)</f>
        <v>144.14399999999995</v>
      </c>
      <c r="AK44" s="13">
        <f t="shared" si="35"/>
        <v>37.244720006976216</v>
      </c>
      <c r="AL44" s="20">
        <f t="shared" si="4"/>
        <v>315.91868734548348</v>
      </c>
      <c r="AM44" s="59">
        <f t="shared" si="5"/>
        <v>609.25202067881673</v>
      </c>
      <c r="AN44" s="59">
        <f ca="1">AVERAGE(OFFSET($AM$3,0,0,'Données projet'!$E$10+1,1))-AVERAGE(OFFSET($H$3,0,0,'Données projet'!$E$10+1,1))</f>
        <v>207.02306964567629</v>
      </c>
      <c r="AO44" s="59">
        <f t="shared" si="36"/>
        <v>342.06887933351783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15.839133884782141</v>
      </c>
      <c r="AV44" s="21">
        <f>EXP(-LN(2)/25)*AV43+(1-EXP(-LN(2)/25))/(LN(2)/25)*Calculateur!AQ44*Calculateur!AS44*VLOOKUP('Données projet'!$B$10,Paramètres!$A$1:$I$89,3,0)*0.475*44/12</f>
        <v>31.692018427941445</v>
      </c>
      <c r="AW44" s="21">
        <f>EXP(-LN(2)/2)*AW43+(1-EXP(-LN(2)/2))/(LN(2)/2)*AQ44*AT44*VLOOKUP('Données projet'!$B$10,Paramètres!$A$1:$I$89,3,0)*0.475*44/12</f>
        <v>0.24742251054108208</v>
      </c>
      <c r="AX44" s="21">
        <f t="shared" si="6"/>
        <v>47.77857482326467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36</v>
      </c>
      <c r="BD44" s="12">
        <f>IF('Données projet'!$A$88&gt;35,BD43+BC44-BL43,IF(A44&lt;'Données projet'!$A$88,$BA$205^A44,IF(A44='Données projet'!$A$88,'Données projet'!$B$88,BD43+BC44-BL43)))</f>
        <v>730</v>
      </c>
      <c r="BE44" s="13">
        <f>BD44*VLOOKUP('Données projet'!$B$11,Paramètres!$A$1:$I$89,3,0)*VLOOKUP('Données projet'!$B$11,Paramètres!$A$1:$I$89,5,0)</f>
        <v>341.64000000000004</v>
      </c>
      <c r="BF44" s="13">
        <f t="shared" si="37"/>
        <v>79.8386858547359</v>
      </c>
      <c r="BG44" s="20">
        <f t="shared" si="7"/>
        <v>734.07537786366504</v>
      </c>
      <c r="BH44" s="59">
        <f t="shared" si="8"/>
        <v>1027.4087111969984</v>
      </c>
      <c r="BI44" s="59">
        <f ca="1">AVERAGE(OFFSET($BH$3,0,0,'Données projet'!$E$11+1,1))-AVERAGE(OFFSET($H$3,0,0,'Données projet'!$E$11+1,1))</f>
        <v>345.45636360520137</v>
      </c>
      <c r="BJ44" s="59">
        <f t="shared" si="38"/>
        <v>469.30074822262549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10.841413137108836</v>
      </c>
      <c r="BQ44" s="21">
        <f>EXP(-LN(2)/25)*BQ43+(1-EXP(-LN(2)/25))/(LN(2)/25)*Calculateur!BL44*Calculateur!BN44*VLOOKUP('Données projet'!$B$11,Paramètres!$A$1:$I$89,3,0)*0.475*44/12</f>
        <v>13.59376398171643</v>
      </c>
      <c r="BR44" s="21">
        <f>EXP(-LN(2)/2)*BR43+(1-EXP(-LN(2)/2))/(LN(2)/2)*BL44*BO44*VLOOKUP('Données projet'!$B$11,Paramètres!$A$1:$I$89,3,0)*0.475*44/12</f>
        <v>0.16911460867091993</v>
      </c>
      <c r="BS44" s="22">
        <f t="shared" si="9"/>
        <v>24.604291727496186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20.399999999999999</v>
      </c>
      <c r="N45" s="13">
        <f>IF('Données projet'!$A$36&gt;35,N44+M45-V44,IF(A45&lt;'Données projet'!$A$36,$K$205^A45,IF(A45='Données projet'!$A$36,'Données projet'!$B$36,N44+M45-V44)))</f>
        <v>615.79999999999995</v>
      </c>
      <c r="O45" s="13">
        <f>N45*VLOOKUP('Données projet'!$B$9,Paramètres!$A$1:$I$89,3,0)*VLOOKUP('Données projet'!$B$9,Paramètres!$A$1:$I$89,5,0)</f>
        <v>344.23219999999998</v>
      </c>
      <c r="P45" s="13">
        <f t="shared" si="33"/>
        <v>80.373715191199906</v>
      </c>
      <c r="Q45" s="20">
        <f t="shared" si="53"/>
        <v>739.52196895800637</v>
      </c>
      <c r="R45" s="59">
        <f t="shared" si="0"/>
        <v>1032.8553022913397</v>
      </c>
      <c r="S45" s="59">
        <f ca="1">AVERAGE(OFFSET($R$3,0,0,'Données projet'!$E$9+1,1))-AVERAGE(OFFSET($H$3,0,0,'Données projet'!$E$9+1,1))</f>
        <v>534.78683721545372</v>
      </c>
      <c r="T45" s="59">
        <f t="shared" si="34"/>
        <v>710.59298755711075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5.9392122152354521</v>
      </c>
      <c r="AA45" s="21">
        <f>EXP(-LN(2)/25)*AA44+(1-EXP(-LN(2)/25))/(LN(2)/25)*Calculateur!V45*Calculateur!X45*VLOOKUP('Données projet'!$B$9,Paramètres!$A$1:$I$89,3,0)*0.475*44/12</f>
        <v>14.609276984379317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20.548489199614771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278</v>
      </c>
      <c r="AG45" s="12">
        <f>VLOOKUP(A45,'Données projet'!$A$61:$I$81,9,0)</f>
        <v>14</v>
      </c>
      <c r="AH45" s="12">
        <f t="array" ref="AH45">INDEX(AG:AG,MIN(IF(ISNUMBER(AG45:AG241),ROW(AG45:AG241),"")))</f>
        <v>14</v>
      </c>
      <c r="AI45" s="13">
        <f>IF('Données projet'!$A$62&gt;35,AI44+AH45-AQ44,IF(A45&lt;'Données projet'!$A$62,$AF$205^A45,IF(A45='Données projet'!$A$62,'Données projet'!$B$62,AI44+AH45-AQ44)))</f>
        <v>277.99999999999994</v>
      </c>
      <c r="AJ45" s="13">
        <f>AI45*VLOOKUP('Données projet'!$B$10,Paramètres!$A$1:$I$89,3,0)*VLOOKUP('Données projet'!$B$10,Paramètres!$A$1:$I$89,5,0)</f>
        <v>151.78799999999998</v>
      </c>
      <c r="AK45" s="13">
        <f t="shared" si="35"/>
        <v>38.984634390835623</v>
      </c>
      <c r="AL45" s="20">
        <f t="shared" si="4"/>
        <v>332.26233823070532</v>
      </c>
      <c r="AM45" s="59">
        <f t="shared" si="5"/>
        <v>625.59567156403864</v>
      </c>
      <c r="AN45" s="59">
        <f ca="1">AVERAGE(OFFSET($AM$3,0,0,'Données projet'!$E$10+1,1))-AVERAGE(OFFSET($H$3,0,0,'Données projet'!$E$10+1,1))</f>
        <v>207.02306964567629</v>
      </c>
      <c r="AO45" s="59">
        <f t="shared" si="36"/>
        <v>342.06887933351783</v>
      </c>
      <c r="AP45" s="15">
        <f>IF(ISNA(VLOOKUP(A45,'Données projet'!$A$61:$I$81,3,0)),0,VLOOKUP(A45,'Données projet'!$A$61:$I$81,3,0))</f>
        <v>7</v>
      </c>
      <c r="AQ45" s="15">
        <f>IF(ISNA(VLOOKUP(A45,'Données projet'!$A$61:$I$81,4,0)),0,VLOOKUP(A45,'Données projet'!$A$61:$I$81,4,0))</f>
        <v>278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15.528538130219296</v>
      </c>
      <c r="AV45" s="21">
        <f>EXP(-LN(2)/25)*AV44+(1-EXP(-LN(2)/25))/(LN(2)/25)*Calculateur!AQ45*Calculateur!AS45*VLOOKUP('Données projet'!$B$10,Paramètres!$A$1:$I$89,3,0)*0.475*44/12</f>
        <v>30.82539851741857</v>
      </c>
      <c r="AW45" s="21">
        <f>EXP(-LN(2)/2)*AW44+(1-EXP(-LN(2)/2))/(LN(2)/2)*AQ45*AT45*VLOOKUP('Données projet'!$B$10,Paramètres!$A$1:$I$89,3,0)*0.475*44/12</f>
        <v>0.17495413502179918</v>
      </c>
      <c r="AX45" s="21">
        <f t="shared" si="6"/>
        <v>46.528890782659666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766</v>
      </c>
      <c r="BB45" s="12">
        <f>VLOOKUP(A45,'Données projet'!$A$87:$I$107,9,0)</f>
        <v>36</v>
      </c>
      <c r="BC45" s="12">
        <f t="array" ref="BC45">INDEX(BB:BB,MIN(IF(ISNUMBER(BB45:BB241),ROW(BB45:BB241),"")))</f>
        <v>36</v>
      </c>
      <c r="BD45" s="12">
        <f>IF('Données projet'!$A$88&gt;35,BD44+BC45-BL44,IF(A45&lt;'Données projet'!$A$88,$BA$205^A45,IF(A45='Données projet'!$A$88,'Données projet'!$B$88,BD44+BC45-BL44)))</f>
        <v>766</v>
      </c>
      <c r="BE45" s="13">
        <f>BD45*VLOOKUP('Données projet'!$B$11,Paramètres!$A$1:$I$89,3,0)*VLOOKUP('Données projet'!$B$11,Paramètres!$A$1:$I$89,5,0)</f>
        <v>358.488</v>
      </c>
      <c r="BF45" s="13">
        <f t="shared" si="37"/>
        <v>83.307833714918146</v>
      </c>
      <c r="BG45" s="20">
        <f t="shared" si="7"/>
        <v>769.46107705348243</v>
      </c>
      <c r="BH45" s="59">
        <f t="shared" si="8"/>
        <v>1062.7944103868158</v>
      </c>
      <c r="BI45" s="59">
        <f ca="1">AVERAGE(OFFSET($BH$3,0,0,'Données projet'!$E$11+1,1))-AVERAGE(OFFSET($H$3,0,0,'Données projet'!$E$11+1,1))</f>
        <v>345.45636360520137</v>
      </c>
      <c r="BJ45" s="59">
        <f t="shared" si="38"/>
        <v>469.30074822262549</v>
      </c>
      <c r="BK45" s="15">
        <f>IF(ISNA(VLOOKUP(A45,'Données projet'!$A$87:$I$107,3,0)),0,VLOOKUP(A45,'Données projet'!$A$87:$I$107,3,0))</f>
        <v>7</v>
      </c>
      <c r="BL45" s="15">
        <f>IF(ISNA(VLOOKUP(A45,'Données projet'!$A$87:$I$107,4,0)),0,VLOOKUP(A45,'Données projet'!$A$87:$I$107,4,0))</f>
        <v>79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10.628819638099204</v>
      </c>
      <c r="BQ45" s="21">
        <f>EXP(-LN(2)/25)*BQ44+(1-EXP(-LN(2)/25))/(LN(2)/25)*Calculateur!BL45*Calculateur!BN45*VLOOKUP('Données projet'!$B$11,Paramètres!$A$1:$I$89,3,0)*0.475*44/12</f>
        <v>13.222041790771415</v>
      </c>
      <c r="BR45" s="21">
        <f>EXP(-LN(2)/2)*BR44+(1-EXP(-LN(2)/2))/(LN(2)/2)*BL45*BO45*VLOOKUP('Données projet'!$B$11,Paramètres!$A$1:$I$89,3,0)*0.475*44/12</f>
        <v>0.11958208658891679</v>
      </c>
      <c r="BS45" s="22">
        <f t="shared" si="9"/>
        <v>23.970443515459536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20.399999999999999</v>
      </c>
      <c r="N46" s="13">
        <f>IF('Données projet'!$A$36&gt;35,N45+M46-V45,IF(A46&lt;'Données projet'!$A$36,$K$205^A46,IF(A46='Données projet'!$A$36,'Données projet'!$B$36,N45+M46-V45)))</f>
        <v>636.19999999999993</v>
      </c>
      <c r="O46" s="13">
        <f>N46*VLOOKUP('Données projet'!$B$9,Paramètres!$A$1:$I$89,3,0)*VLOOKUP('Données projet'!$B$9,Paramètres!$A$1:$I$89,5,0)</f>
        <v>355.63579999999996</v>
      </c>
      <c r="P46" s="13">
        <f t="shared" si="33"/>
        <v>82.72189991276511</v>
      </c>
      <c r="Q46" s="20">
        <f t="shared" si="53"/>
        <v>763.47299401473254</v>
      </c>
      <c r="R46" s="59">
        <f t="shared" si="0"/>
        <v>1056.8063273480659</v>
      </c>
      <c r="S46" s="59">
        <f ca="1">AVERAGE(OFFSET($R$3,0,0,'Données projet'!$E$9+1,1))-AVERAGE(OFFSET($H$3,0,0,'Données projet'!$E$9+1,1))</f>
        <v>534.78683721545372</v>
      </c>
      <c r="T46" s="59">
        <f t="shared" si="34"/>
        <v>710.59298755711075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5.8227478862564377</v>
      </c>
      <c r="AA46" s="21">
        <f>EXP(-LN(2)/25)*AA45+(1-EXP(-LN(2)/25))/(LN(2)/25)*Calculateur!V46*Calculateur!X46*VLOOKUP('Données projet'!$B$9,Paramètres!$A$1:$I$89,3,0)*0.475*44/12</f>
        <v>14.209785536972978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20.032533423229417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-5.6843418860808015E-14</v>
      </c>
      <c r="AJ46" s="13">
        <f>AI46*VLOOKUP('Données projet'!$B$10,Paramètres!$A$1:$I$89,3,0)*VLOOKUP('Données projet'!$B$10,Paramètres!$A$1:$I$89,5,0)</f>
        <v>-3.1036506698001178E-14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207.02306964567629</v>
      </c>
      <c r="AO46" s="59">
        <f t="shared" si="36"/>
        <v>342.06887933351783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15.224032968958724</v>
      </c>
      <c r="AV46" s="21">
        <f>EXP(-LN(2)/25)*AV45+(1-EXP(-LN(2)/25))/(LN(2)/25)*Calculateur!AQ46*Calculateur!AS46*VLOOKUP('Données projet'!$B$10,Paramètres!$A$1:$I$89,3,0)*0.475*44/12</f>
        <v>29.982476373922502</v>
      </c>
      <c r="AW46" s="21">
        <f>EXP(-LN(2)/2)*AW45+(1-EXP(-LN(2)/2))/(LN(2)/2)*AQ46*AT46*VLOOKUP('Données projet'!$B$10,Paramètres!$A$1:$I$89,3,0)*0.475*44/12</f>
        <v>0.12371125527054105</v>
      </c>
      <c r="AX46" s="21">
        <f t="shared" si="6"/>
        <v>45.330220598151769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29.4</v>
      </c>
      <c r="BD46" s="12">
        <f>IF('Données projet'!$A$88&gt;35,BD45+BC46-BL45,IF(A46&lt;'Données projet'!$A$88,$BA$205^A46,IF(A46='Données projet'!$A$88,'Données projet'!$B$88,BD45+BC46-BL45)))</f>
        <v>716.4</v>
      </c>
      <c r="BE46" s="13">
        <f>BD46*VLOOKUP('Données projet'!$B$11,Paramètres!$A$1:$I$89,3,0)*VLOOKUP('Données projet'!$B$11,Paramètres!$A$1:$I$89,5,0)</f>
        <v>335.27519999999998</v>
      </c>
      <c r="BF46" s="13">
        <f t="shared" si="37"/>
        <v>78.522979209968497</v>
      </c>
      <c r="BG46" s="20">
        <f t="shared" si="7"/>
        <v>720.69849545736179</v>
      </c>
      <c r="BH46" s="59">
        <f t="shared" si="8"/>
        <v>1014.031828790695</v>
      </c>
      <c r="BI46" s="59">
        <f ca="1">AVERAGE(OFFSET($BH$3,0,0,'Données projet'!$E$11+1,1))-AVERAGE(OFFSET($H$3,0,0,'Données projet'!$E$11+1,1))</f>
        <v>345.45636360520137</v>
      </c>
      <c r="BJ46" s="59">
        <f t="shared" si="38"/>
        <v>469.30074822262549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10.42039496793592</v>
      </c>
      <c r="BQ46" s="21">
        <f>EXP(-LN(2)/25)*BQ45+(1-EXP(-LN(2)/25))/(LN(2)/25)*Calculateur!BL46*Calculateur!BN46*VLOOKUP('Données projet'!$B$11,Paramètres!$A$1:$I$89,3,0)*0.475*44/12</f>
        <v>12.860484362685813</v>
      </c>
      <c r="BR46" s="21">
        <f>EXP(-LN(2)/2)*BR45+(1-EXP(-LN(2)/2))/(LN(2)/2)*BL46*BO46*VLOOKUP('Données projet'!$B$11,Paramètres!$A$1:$I$89,3,0)*0.475*44/12</f>
        <v>8.4557304335459979E-2</v>
      </c>
      <c r="BS46" s="22">
        <f t="shared" si="9"/>
        <v>23.365436634957192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20.399999999999999</v>
      </c>
      <c r="N47" s="13">
        <f>IF('Données projet'!$A$36&gt;35,N46+M47-V46,IF(A47&lt;'Données projet'!$A$36,$K$205^A47,IF(A47='Données projet'!$A$36,'Données projet'!$B$36,N46+M47-V46)))</f>
        <v>656.59999999999991</v>
      </c>
      <c r="O47" s="13">
        <f>N47*VLOOKUP('Données projet'!$B$9,Paramètres!$A$1:$I$89,3,0)*VLOOKUP('Données projet'!$B$9,Paramètres!$A$1:$I$89,5,0)</f>
        <v>367.03939999999994</v>
      </c>
      <c r="P47" s="13">
        <f t="shared" si="33"/>
        <v>85.061334995140626</v>
      </c>
      <c r="Q47" s="20">
        <f t="shared" si="53"/>
        <v>787.40878011653638</v>
      </c>
      <c r="R47" s="59">
        <f t="shared" si="0"/>
        <v>1080.7421134498697</v>
      </c>
      <c r="S47" s="59">
        <f ca="1">AVERAGE(OFFSET($R$3,0,0,'Données projet'!$E$9+1,1))-AVERAGE(OFFSET($H$3,0,0,'Données projet'!$E$9+1,1))</f>
        <v>534.78683721545372</v>
      </c>
      <c r="T47" s="59">
        <f t="shared" si="34"/>
        <v>710.59298755711075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5.7085673517324755</v>
      </c>
      <c r="AA47" s="21">
        <f>EXP(-LN(2)/25)*AA46+(1-EXP(-LN(2)/25))/(LN(2)/25)*Calculateur!V47*Calculateur!X47*VLOOKUP('Données projet'!$B$9,Paramètres!$A$1:$I$89,3,0)*0.475*44/12</f>
        <v>13.821218204204307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19.529785555936783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-5.6843418860808015E-14</v>
      </c>
      <c r="AJ47" s="13">
        <f>AI47*VLOOKUP('Données projet'!$B$10,Paramètres!$A$1:$I$89,3,0)*VLOOKUP('Données projet'!$B$10,Paramètres!$A$1:$I$89,5,0)</f>
        <v>-3.1036506698001178E-14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207.02306964567629</v>
      </c>
      <c r="AO47" s="59">
        <f t="shared" si="36"/>
        <v>342.06887933351783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14.925498968180664</v>
      </c>
      <c r="AV47" s="21">
        <f>EXP(-LN(2)/25)*AV46+(1-EXP(-LN(2)/25))/(LN(2)/25)*Calculateur!AQ47*Calculateur!AS47*VLOOKUP('Données projet'!$B$10,Paramètres!$A$1:$I$89,3,0)*0.475*44/12</f>
        <v>29.162603980767685</v>
      </c>
      <c r="AW47" s="21">
        <f>EXP(-LN(2)/2)*AW46+(1-EXP(-LN(2)/2))/(LN(2)/2)*AQ47*AT47*VLOOKUP('Données projet'!$B$10,Paramètres!$A$1:$I$89,3,0)*0.475*44/12</f>
        <v>8.7477067510899606E-2</v>
      </c>
      <c r="AX47" s="21">
        <f t="shared" si="6"/>
        <v>44.175580016459243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29.4</v>
      </c>
      <c r="BD47" s="12">
        <f>IF('Données projet'!$A$88&gt;35,BD46+BC47-BL46,IF(A47&lt;'Données projet'!$A$88,$BA$205^A47,IF(A47='Données projet'!$A$88,'Données projet'!$B$88,BD46+BC47-BL46)))</f>
        <v>745.8</v>
      </c>
      <c r="BE47" s="13">
        <f>BD47*VLOOKUP('Données projet'!$B$11,Paramètres!$A$1:$I$89,3,0)*VLOOKUP('Données projet'!$B$11,Paramètres!$A$1:$I$89,5,0)</f>
        <v>349.03440000000001</v>
      </c>
      <c r="BF47" s="13">
        <f t="shared" si="37"/>
        <v>81.36365221221385</v>
      </c>
      <c r="BG47" s="20">
        <f t="shared" si="7"/>
        <v>749.60994093627244</v>
      </c>
      <c r="BH47" s="59">
        <f t="shared" si="8"/>
        <v>1042.9432742696058</v>
      </c>
      <c r="BI47" s="59">
        <f ca="1">AVERAGE(OFFSET($BH$3,0,0,'Données projet'!$E$11+1,1))-AVERAGE(OFFSET($H$3,0,0,'Données projet'!$E$11+1,1))</f>
        <v>345.45636360520137</v>
      </c>
      <c r="BJ47" s="59">
        <f t="shared" si="38"/>
        <v>469.30074822262549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10.216057378428042</v>
      </c>
      <c r="BQ47" s="21">
        <f>EXP(-LN(2)/25)*BQ46+(1-EXP(-LN(2)/25))/(LN(2)/25)*Calculateur!BL47*Calculateur!BN47*VLOOKUP('Données projet'!$B$11,Paramètres!$A$1:$I$89,3,0)*0.475*44/12</f>
        <v>12.50881374148469</v>
      </c>
      <c r="BR47" s="21">
        <f>EXP(-LN(2)/2)*BR46+(1-EXP(-LN(2)/2))/(LN(2)/2)*BL47*BO47*VLOOKUP('Données projet'!$B$11,Paramètres!$A$1:$I$89,3,0)*0.475*44/12</f>
        <v>5.9791043294458411E-2</v>
      </c>
      <c r="BS47" s="22">
        <f t="shared" si="9"/>
        <v>22.784662163207194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677</v>
      </c>
      <c r="L48" s="12">
        <f>VLOOKUP(A48,'Données projet'!$A$35:$I$55,9,0)</f>
        <v>20.399999999999999</v>
      </c>
      <c r="M48" s="12">
        <f t="array" ref="M48">INDEX(L:L,MIN(IF(ISNUMBER(L48:L244),ROW(L48:L244),"")))</f>
        <v>20.399999999999999</v>
      </c>
      <c r="N48" s="13">
        <f>IF('Données projet'!$A$36&gt;35,N47+M48-V47,IF(A48&lt;'Données projet'!$A$36,$K$205^A48,IF(A48='Données projet'!$A$36,'Données projet'!$B$36,N47+M48-V47)))</f>
        <v>676.99999999999989</v>
      </c>
      <c r="O48" s="13">
        <f>N48*VLOOKUP('Données projet'!$B$9,Paramètres!$A$1:$I$89,3,0)*VLOOKUP('Données projet'!$B$9,Paramètres!$A$1:$I$89,5,0)</f>
        <v>378.44299999999998</v>
      </c>
      <c r="P48" s="13">
        <f t="shared" si="33"/>
        <v>87.392323475551621</v>
      </c>
      <c r="Q48" s="20">
        <f t="shared" si="53"/>
        <v>811.32985505325234</v>
      </c>
      <c r="R48" s="59">
        <f t="shared" si="0"/>
        <v>1104.6631883865857</v>
      </c>
      <c r="S48" s="59">
        <f ca="1">AVERAGE(OFFSET($R$3,0,0,'Données projet'!$E$9+1,1))-AVERAGE(OFFSET($H$3,0,0,'Données projet'!$E$9+1,1))</f>
        <v>534.78683721545372</v>
      </c>
      <c r="T48" s="59">
        <f t="shared" si="34"/>
        <v>710.59298755711075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82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5.5966258278472791</v>
      </c>
      <c r="AA48" s="21">
        <f>EXP(-LN(2)/25)*AA47+(1-EXP(-LN(2)/25))/(LN(2)/25)*Calculateur!V48*Calculateur!X48*VLOOKUP('Données projet'!$B$9,Paramètres!$A$1:$I$89,3,0)*0.475*44/12</f>
        <v>13.443276265584064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19.039902093431344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-5.6843418860808015E-14</v>
      </c>
      <c r="AJ48" s="13">
        <f>AI48*VLOOKUP('Données projet'!$B$10,Paramètres!$A$1:$I$89,3,0)*VLOOKUP('Données projet'!$B$10,Paramètres!$A$1:$I$89,5,0)</f>
        <v>-3.1036506698001178E-14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207.02306964567629</v>
      </c>
      <c r="AO48" s="59">
        <f t="shared" si="36"/>
        <v>342.06887933351783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14.632819037070099</v>
      </c>
      <c r="AV48" s="21">
        <f>EXP(-LN(2)/25)*AV47+(1-EXP(-LN(2)/25))/(LN(2)/25)*Calculateur!AQ48*Calculateur!AS48*VLOOKUP('Données projet'!$B$10,Paramètres!$A$1:$I$89,3,0)*0.475*44/12</f>
        <v>28.365151041318899</v>
      </c>
      <c r="AW48" s="21">
        <f>EXP(-LN(2)/2)*AW47+(1-EXP(-LN(2)/2))/(LN(2)/2)*AQ48*AT48*VLOOKUP('Données projet'!$B$10,Paramètres!$A$1:$I$89,3,0)*0.475*44/12</f>
        <v>6.1855627635270541E-2</v>
      </c>
      <c r="AX48" s="21">
        <f t="shared" si="6"/>
        <v>43.05982570602427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29.4</v>
      </c>
      <c r="BD48" s="12">
        <f>IF('Données projet'!$A$88&gt;35,BD47+BC48-BL47,IF(A48&lt;'Données projet'!$A$88,$BA$205^A48,IF(A48='Données projet'!$A$88,'Données projet'!$B$88,BD47+BC48-BL47)))</f>
        <v>775.19999999999993</v>
      </c>
      <c r="BE48" s="13">
        <f>BD48*VLOOKUP('Données projet'!$B$11,Paramètres!$A$1:$I$89,3,0)*VLOOKUP('Données projet'!$B$11,Paramètres!$A$1:$I$89,5,0)</f>
        <v>362.79359999999997</v>
      </c>
      <c r="BF48" s="13">
        <f t="shared" si="37"/>
        <v>84.191316871558996</v>
      </c>
      <c r="BG48" s="20">
        <f t="shared" si="7"/>
        <v>778.4987302179652</v>
      </c>
      <c r="BH48" s="59">
        <f t="shared" si="8"/>
        <v>1071.8320635512985</v>
      </c>
      <c r="BI48" s="59">
        <f ca="1">AVERAGE(OFFSET($BH$3,0,0,'Données projet'!$E$11+1,1))-AVERAGE(OFFSET($H$3,0,0,'Données projet'!$E$11+1,1))</f>
        <v>345.45636360520137</v>
      </c>
      <c r="BJ48" s="59">
        <f t="shared" si="38"/>
        <v>469.30074822262549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10.01572672441679</v>
      </c>
      <c r="BQ48" s="21">
        <f>EXP(-LN(2)/25)*BQ47+(1-EXP(-LN(2)/25))/(LN(2)/25)*Calculateur!BL48*Calculateur!BN48*VLOOKUP('Données projet'!$B$11,Paramètres!$A$1:$I$89,3,0)*0.475*44/12</f>
        <v>12.166759571913866</v>
      </c>
      <c r="BR48" s="21">
        <f>EXP(-LN(2)/2)*BR47+(1-EXP(-LN(2)/2))/(LN(2)/2)*BL48*BO48*VLOOKUP('Données projet'!$B$11,Paramètres!$A$1:$I$89,3,0)*0.475*44/12</f>
        <v>4.2278652167729996E-2</v>
      </c>
      <c r="BS48" s="22">
        <f t="shared" si="9"/>
        <v>22.22476494849839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19.2</v>
      </c>
      <c r="N49" s="13">
        <f>IF('Données projet'!$A$36&gt;35,N48+M49-V48,IF(A49&lt;'Données projet'!$A$36,$K$205^A49,IF(A49='Données projet'!$A$36,'Données projet'!$B$36,N48+M49-V48)))</f>
        <v>614.19999999999993</v>
      </c>
      <c r="O49" s="13">
        <f>N49*VLOOKUP('Données projet'!$B$9,Paramètres!$A$1:$I$89,3,0)*VLOOKUP('Données projet'!$B$9,Paramètres!$A$1:$I$89,5,0)</f>
        <v>343.33780000000002</v>
      </c>
      <c r="P49" s="13">
        <f t="shared" si="33"/>
        <v>80.189164455589108</v>
      </c>
      <c r="Q49" s="20">
        <f t="shared" si="53"/>
        <v>737.64279642681765</v>
      </c>
      <c r="R49" s="59">
        <f t="shared" si="0"/>
        <v>1030.976129760151</v>
      </c>
      <c r="S49" s="59">
        <f ca="1">AVERAGE(OFFSET($R$3,0,0,'Données projet'!$E$9+1,1))-AVERAGE(OFFSET($H$3,0,0,'Données projet'!$E$9+1,1))</f>
        <v>534.78683721545372</v>
      </c>
      <c r="T49" s="59">
        <f t="shared" si="34"/>
        <v>710.59298755711075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5.4868794089678836</v>
      </c>
      <c r="AA49" s="21">
        <f>EXP(-LN(2)/25)*AA48+(1-EXP(-LN(2)/25))/(LN(2)/25)*Calculateur!V49*Calculateur!X49*VLOOKUP('Données projet'!$B$9,Paramètres!$A$1:$I$89,3,0)*0.475*44/12</f>
        <v>13.075669169150494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18.562548578118378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-5.6843418860808015E-14</v>
      </c>
      <c r="AJ49" s="13">
        <f>AI49*VLOOKUP('Données projet'!$B$10,Paramètres!$A$1:$I$89,3,0)*VLOOKUP('Données projet'!$B$10,Paramètres!$A$1:$I$89,5,0)</f>
        <v>-3.1036506698001178E-14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207.02306964567629</v>
      </c>
      <c r="AO49" s="59">
        <f t="shared" si="36"/>
        <v>342.06887933351783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14.345878380891483</v>
      </c>
      <c r="AV49" s="21">
        <f>EXP(-LN(2)/25)*AV48+(1-EXP(-LN(2)/25))/(LN(2)/25)*Calculateur!AQ49*Calculateur!AS49*VLOOKUP('Données projet'!$B$10,Paramètres!$A$1:$I$89,3,0)*0.475*44/12</f>
        <v>27.58950449443557</v>
      </c>
      <c r="AW49" s="21">
        <f>EXP(-LN(2)/2)*AW48+(1-EXP(-LN(2)/2))/(LN(2)/2)*AQ49*AT49*VLOOKUP('Données projet'!$B$10,Paramètres!$A$1:$I$89,3,0)*0.475*44/12</f>
        <v>4.373853375544981E-2</v>
      </c>
      <c r="AX49" s="21">
        <f t="shared" si="6"/>
        <v>41.979121409082502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29.4</v>
      </c>
      <c r="BD49" s="12">
        <f>IF('Données projet'!$A$88&gt;35,BD48+BC49-BL48,IF(A49&lt;'Données projet'!$A$88,$BA$205^A49,IF(A49='Données projet'!$A$88,'Données projet'!$B$88,BD48+BC49-BL48)))</f>
        <v>804.59999999999991</v>
      </c>
      <c r="BE49" s="13">
        <f>BD49*VLOOKUP('Données projet'!$B$11,Paramètres!$A$1:$I$89,3,0)*VLOOKUP('Données projet'!$B$11,Paramètres!$A$1:$I$89,5,0)</f>
        <v>376.55279999999993</v>
      </c>
      <c r="BF49" s="13">
        <f t="shared" si="37"/>
        <v>87.006523018866147</v>
      </c>
      <c r="BG49" s="20">
        <f t="shared" si="7"/>
        <v>807.365820924525</v>
      </c>
      <c r="BH49" s="59">
        <f t="shared" si="8"/>
        <v>1100.6991542578583</v>
      </c>
      <c r="BI49" s="59">
        <f ca="1">AVERAGE(OFFSET($BH$3,0,0,'Données projet'!$E$11+1,1))-AVERAGE(OFFSET($H$3,0,0,'Données projet'!$E$11+1,1))</f>
        <v>345.45636360520137</v>
      </c>
      <c r="BJ49" s="59">
        <f t="shared" si="38"/>
        <v>469.30074822262549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9.819324432341066</v>
      </c>
      <c r="BQ49" s="21">
        <f>EXP(-LN(2)/25)*BQ48+(1-EXP(-LN(2)/25))/(LN(2)/25)*Calculateur!BL49*Calculateur!BN49*VLOOKUP('Données projet'!$B$11,Paramètres!$A$1:$I$89,3,0)*0.475*44/12</f>
        <v>11.834058891597802</v>
      </c>
      <c r="BR49" s="21">
        <f>EXP(-LN(2)/2)*BR48+(1-EXP(-LN(2)/2))/(LN(2)/2)*BL49*BO49*VLOOKUP('Données projet'!$B$11,Paramètres!$A$1:$I$89,3,0)*0.475*44/12</f>
        <v>2.9895521647229209E-2</v>
      </c>
      <c r="BS49" s="22">
        <f t="shared" si="9"/>
        <v>21.683278845586099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19.2</v>
      </c>
      <c r="N50" s="13">
        <f>IF('Données projet'!$A$36&gt;35,N49+M50-V49,IF(A50&lt;'Données projet'!$A$36,$K$205^A50,IF(A50='Données projet'!$A$36,'Données projet'!$B$36,N49+M50-V49)))</f>
        <v>633.4</v>
      </c>
      <c r="O50" s="13">
        <f>N50*VLOOKUP('Données projet'!$B$9,Paramètres!$A$1:$I$89,3,0)*VLOOKUP('Données projet'!$B$9,Paramètres!$A$1:$I$89,5,0)</f>
        <v>354.07059999999996</v>
      </c>
      <c r="P50" s="13">
        <f t="shared" si="33"/>
        <v>82.400125145142354</v>
      </c>
      <c r="Q50" s="20">
        <f t="shared" si="53"/>
        <v>760.18651296112273</v>
      </c>
      <c r="R50" s="59">
        <f t="shared" si="0"/>
        <v>1053.5198462944561</v>
      </c>
      <c r="S50" s="59">
        <f ca="1">AVERAGE(OFFSET($R$3,0,0,'Données projet'!$E$9+1,1))-AVERAGE(OFFSET($H$3,0,0,'Données projet'!$E$9+1,1))</f>
        <v>534.78683721545372</v>
      </c>
      <c r="T50" s="59">
        <f t="shared" si="34"/>
        <v>710.59298755711075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5.3792850504240075</v>
      </c>
      <c r="AA50" s="21">
        <f>EXP(-LN(2)/25)*AA49+(1-EXP(-LN(2)/25))/(LN(2)/25)*Calculateur!V50*Calculateur!X50*VLOOKUP('Données projet'!$B$9,Paramètres!$A$1:$I$89,3,0)*0.475*44/12</f>
        <v>12.718114308100517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18.097399358524527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-5.6843418860808015E-14</v>
      </c>
      <c r="AJ50" s="13">
        <f>AI50*VLOOKUP('Données projet'!$B$10,Paramètres!$A$1:$I$89,3,0)*VLOOKUP('Données projet'!$B$10,Paramètres!$A$1:$I$89,5,0)</f>
        <v>-3.1036506698001178E-14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207.02306964567629</v>
      </c>
      <c r="AO50" s="59">
        <f t="shared" si="36"/>
        <v>342.06887933351783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14.06456445596401</v>
      </c>
      <c r="AV50" s="21">
        <f>EXP(-LN(2)/25)*AV49+(1-EXP(-LN(2)/25))/(LN(2)/25)*Calculateur!AQ50*Calculateur!AS50*VLOOKUP('Données projet'!$B$10,Paramètres!$A$1:$I$89,3,0)*0.475*44/12</f>
        <v>26.835068043166245</v>
      </c>
      <c r="AW50" s="21">
        <f>EXP(-LN(2)/2)*AW49+(1-EXP(-LN(2)/2))/(LN(2)/2)*AQ50*AT50*VLOOKUP('Données projet'!$B$10,Paramètres!$A$1:$I$89,3,0)*0.475*44/12</f>
        <v>3.0927813817635274E-2</v>
      </c>
      <c r="AX50" s="21">
        <f t="shared" si="6"/>
        <v>40.93056031294789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>
        <f>VLOOKUP(A50,'Données projet'!$A$87:$I$107,2,0)</f>
        <v>834</v>
      </c>
      <c r="BB50" s="12">
        <f>VLOOKUP(A50,'Données projet'!$A$87:$I$107,9,0)</f>
        <v>29.4</v>
      </c>
      <c r="BC50" s="12">
        <f t="array" ref="BC50">INDEX(BB:BB,MIN(IF(ISNUMBER(BB50:BB246),ROW(BB50:BB246),"")))</f>
        <v>29.4</v>
      </c>
      <c r="BD50" s="12">
        <f>IF('Données projet'!$A$88&gt;35,BD49+BC50-BL49,IF(A50&lt;'Données projet'!$A$88,$BA$205^A50,IF(A50='Données projet'!$A$88,'Données projet'!$B$88,BD49+BC50-BL49)))</f>
        <v>833.99999999999989</v>
      </c>
      <c r="BE50" s="13">
        <f>BD50*VLOOKUP('Données projet'!$B$11,Paramètres!$A$1:$I$89,3,0)*VLOOKUP('Données projet'!$B$11,Paramètres!$A$1:$I$89,5,0)</f>
        <v>390.31199999999995</v>
      </c>
      <c r="BF50" s="13">
        <f t="shared" si="37"/>
        <v>89.809778026376492</v>
      </c>
      <c r="BG50" s="20">
        <f t="shared" si="7"/>
        <v>836.21209672927228</v>
      </c>
      <c r="BH50" s="59">
        <f t="shared" si="8"/>
        <v>1129.5454300626056</v>
      </c>
      <c r="BI50" s="59">
        <f ca="1">AVERAGE(OFFSET($BH$3,0,0,'Données projet'!$E$11+1,1))-AVERAGE(OFFSET($H$3,0,0,'Données projet'!$E$11+1,1))</f>
        <v>345.45636360520137</v>
      </c>
      <c r="BJ50" s="59">
        <f t="shared" si="38"/>
        <v>469.30074822262549</v>
      </c>
      <c r="BK50" s="15">
        <f>IF(ISNA(VLOOKUP(A50,'Données projet'!$A$87:$I$107,3,0)),0,VLOOKUP(A50,'Données projet'!$A$87:$I$107,3,0))</f>
        <v>8</v>
      </c>
      <c r="BL50" s="15">
        <f>IF(ISNA(VLOOKUP(A50,'Données projet'!$A$87:$I$107,4,0)),0,VLOOKUP(A50,'Données projet'!$A$87:$I$107,4,0))</f>
        <v>834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9.6267734694193781</v>
      </c>
      <c r="BQ50" s="21">
        <f>EXP(-LN(2)/25)*BQ49+(1-EXP(-LN(2)/25))/(LN(2)/25)*Calculateur!BL50*Calculateur!BN50*VLOOKUP('Données projet'!$B$11,Paramètres!$A$1:$I$89,3,0)*0.475*44/12</f>
        <v>11.510455928880951</v>
      </c>
      <c r="BR50" s="21">
        <f>EXP(-LN(2)/2)*BR49+(1-EXP(-LN(2)/2))/(LN(2)/2)*BL50*BO50*VLOOKUP('Données projet'!$B$11,Paramètres!$A$1:$I$89,3,0)*0.475*44/12</f>
        <v>2.1139326083865002E-2</v>
      </c>
      <c r="BS50" s="22">
        <f t="shared" si="9"/>
        <v>21.158368724384193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19.2</v>
      </c>
      <c r="N51" s="13">
        <f>IF('Données projet'!$A$36&gt;35,N50+M51-V50,IF(A51&lt;'Données projet'!$A$36,$K$205^A51,IF(A51='Données projet'!$A$36,'Données projet'!$B$36,N50+M51-V50)))</f>
        <v>652.6</v>
      </c>
      <c r="O51" s="13">
        <f>N51*VLOOKUP('Données projet'!$B$9,Paramètres!$A$1:$I$89,3,0)*VLOOKUP('Données projet'!$B$9,Paramètres!$A$1:$I$89,5,0)</f>
        <v>364.80340000000001</v>
      </c>
      <c r="P51" s="13">
        <f t="shared" si="33"/>
        <v>84.60329719715169</v>
      </c>
      <c r="Q51" s="20">
        <f t="shared" si="53"/>
        <v>782.7166642850392</v>
      </c>
      <c r="R51" s="59">
        <f t="shared" si="0"/>
        <v>1076.0499976183726</v>
      </c>
      <c r="S51" s="59">
        <f ca="1">AVERAGE(OFFSET($R$3,0,0,'Données projet'!$E$9+1,1))-AVERAGE(OFFSET($H$3,0,0,'Données projet'!$E$9+1,1))</f>
        <v>534.78683721545372</v>
      </c>
      <c r="T51" s="59">
        <f t="shared" si="34"/>
        <v>710.59298755711075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5.2738005516250981</v>
      </c>
      <c r="AA51" s="21">
        <f>EXP(-LN(2)/25)*AA50+(1-EXP(-LN(2)/25))/(LN(2)/25)*Calculateur!V51*Calculateur!X51*VLOOKUP('Données projet'!$B$9,Paramètres!$A$1:$I$89,3,0)*0.475*44/12</f>
        <v>12.370336803528945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17.644137355154044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-5.6843418860808015E-14</v>
      </c>
      <c r="AJ51" s="13">
        <f>AI51*VLOOKUP('Données projet'!$B$10,Paramètres!$A$1:$I$89,3,0)*VLOOKUP('Données projet'!$B$10,Paramètres!$A$1:$I$89,5,0)</f>
        <v>-3.1036506698001178E-14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207.02306964567629</v>
      </c>
      <c r="AO51" s="59">
        <f t="shared" si="36"/>
        <v>342.06887933351783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13.788766925519814</v>
      </c>
      <c r="AV51" s="21">
        <f>EXP(-LN(2)/25)*AV50+(1-EXP(-LN(2)/25))/(LN(2)/25)*Calculateur!AQ51*Calculateur!AS51*VLOOKUP('Données projet'!$B$10,Paramètres!$A$1:$I$89,3,0)*0.475*44/12</f>
        <v>26.101261696330969</v>
      </c>
      <c r="AW51" s="21">
        <f>EXP(-LN(2)/2)*AW50+(1-EXP(-LN(2)/2))/(LN(2)/2)*AQ51*AT51*VLOOKUP('Données projet'!$B$10,Paramètres!$A$1:$I$89,3,0)*0.475*44/12</f>
        <v>2.1869266877724908E-2</v>
      </c>
      <c r="AX51" s="21">
        <f t="shared" si="6"/>
        <v>39.911897888728504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-1.1368683772161603E-13</v>
      </c>
      <c r="BE51" s="13">
        <f>BD51*VLOOKUP('Données projet'!$B$11,Paramètres!$A$1:$I$89,3,0)*VLOOKUP('Données projet'!$B$11,Paramètres!$A$1:$I$89,5,0)</f>
        <v>-5.3205440053716299E-14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345.45636360520137</v>
      </c>
      <c r="BJ51" s="59">
        <f t="shared" si="38"/>
        <v>469.30074822262549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9.4379983134360934</v>
      </c>
      <c r="BQ51" s="21">
        <f>EXP(-LN(2)/25)*BQ50+(1-EXP(-LN(2)/25))/(LN(2)/25)*Calculateur!BL51*Calculateur!BN51*VLOOKUP('Données projet'!$B$11,Paramètres!$A$1:$I$89,3,0)*0.475*44/12</f>
        <v>11.195701906197131</v>
      </c>
      <c r="BR51" s="21">
        <f>EXP(-LN(2)/2)*BR50+(1-EXP(-LN(2)/2))/(LN(2)/2)*BL51*BO51*VLOOKUP('Données projet'!$B$11,Paramètres!$A$1:$I$89,3,0)*0.475*44/12</f>
        <v>1.4947760823614608E-2</v>
      </c>
      <c r="BS51" s="22">
        <f t="shared" si="9"/>
        <v>20.64864798045684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19.2</v>
      </c>
      <c r="N52" s="13">
        <f>IF('Données projet'!$A$36&gt;35,N51+M52-V51,IF(A52&lt;'Données projet'!$A$36,$K$205^A52,IF(A52='Données projet'!$A$36,'Données projet'!$B$36,N51+M52-V51)))</f>
        <v>671.80000000000007</v>
      </c>
      <c r="O52" s="13">
        <f>N52*VLOOKUP('Données projet'!$B$9,Paramètres!$A$1:$I$89,3,0)*VLOOKUP('Données projet'!$B$9,Paramètres!$A$1:$I$89,5,0)</f>
        <v>375.53620000000006</v>
      </c>
      <c r="P52" s="13">
        <f t="shared" si="33"/>
        <v>86.798936069371663</v>
      </c>
      <c r="Q52" s="20">
        <f t="shared" si="53"/>
        <v>805.23369532082245</v>
      </c>
      <c r="R52" s="59">
        <f t="shared" si="0"/>
        <v>1098.5670286541558</v>
      </c>
      <c r="S52" s="59">
        <f ca="1">AVERAGE(OFFSET($R$3,0,0,'Données projet'!$E$9+1,1))-AVERAGE(OFFSET($H$3,0,0,'Données projet'!$E$9+1,1))</f>
        <v>534.78683721545372</v>
      </c>
      <c r="T52" s="59">
        <f t="shared" si="34"/>
        <v>710.59298755711075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5.1703845395084436</v>
      </c>
      <c r="AA52" s="21">
        <f>EXP(-LN(2)/25)*AA51+(1-EXP(-LN(2)/25))/(LN(2)/25)*Calculateur!V52*Calculateur!X52*VLOOKUP('Données projet'!$B$9,Paramètres!$A$1:$I$89,3,0)*0.475*44/12</f>
        <v>12.032069293108705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17.202453832617149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-5.6843418860808015E-14</v>
      </c>
      <c r="AJ52" s="13">
        <f>AI52*VLOOKUP('Données projet'!$B$10,Paramètres!$A$1:$I$89,3,0)*VLOOKUP('Données projet'!$B$10,Paramètres!$A$1:$I$89,5,0)</f>
        <v>-3.1036506698001178E-14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207.02306964567629</v>
      </c>
      <c r="AO52" s="59">
        <f t="shared" si="36"/>
        <v>342.06887933351783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13.518377616427745</v>
      </c>
      <c r="AV52" s="21">
        <f>EXP(-LN(2)/25)*AV51+(1-EXP(-LN(2)/25))/(LN(2)/25)*Calculateur!AQ52*Calculateur!AS52*VLOOKUP('Données projet'!$B$10,Paramètres!$A$1:$I$89,3,0)*0.475*44/12</f>
        <v>25.387521322639103</v>
      </c>
      <c r="AW52" s="21">
        <f>EXP(-LN(2)/2)*AW51+(1-EXP(-LN(2)/2))/(LN(2)/2)*AQ52*AT52*VLOOKUP('Données projet'!$B$10,Paramètres!$A$1:$I$89,3,0)*0.475*44/12</f>
        <v>1.5463906908817639E-2</v>
      </c>
      <c r="AX52" s="21">
        <f t="shared" si="6"/>
        <v>38.921362845975665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-1.1368683772161603E-13</v>
      </c>
      <c r="BE52" s="13">
        <f>BD52*VLOOKUP('Données projet'!$B$11,Paramètres!$A$1:$I$89,3,0)*VLOOKUP('Données projet'!$B$11,Paramètres!$A$1:$I$89,5,0)</f>
        <v>-5.3205440053716299E-14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345.45636360520137</v>
      </c>
      <c r="BJ52" s="59">
        <f t="shared" si="38"/>
        <v>469.30074822262549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9.2529249231201653</v>
      </c>
      <c r="BQ52" s="21">
        <f>EXP(-LN(2)/25)*BQ51+(1-EXP(-LN(2)/25))/(LN(2)/25)*Calculateur!BL52*Calculateur!BN52*VLOOKUP('Données projet'!$B$11,Paramètres!$A$1:$I$89,3,0)*0.475*44/12</f>
        <v>10.889554848815795</v>
      </c>
      <c r="BR52" s="21">
        <f>EXP(-LN(2)/2)*BR51+(1-EXP(-LN(2)/2))/(LN(2)/2)*BL52*BO52*VLOOKUP('Données projet'!$B$11,Paramètres!$A$1:$I$89,3,0)*0.475*44/12</f>
        <v>1.0569663041932503E-2</v>
      </c>
      <c r="BS52" s="22">
        <f t="shared" si="9"/>
        <v>20.153049434977891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691</v>
      </c>
      <c r="L53" s="12">
        <f>VLOOKUP(A53,'Données projet'!$A$35:$I$55,9,0)</f>
        <v>19.2</v>
      </c>
      <c r="M53" s="12">
        <f t="array" ref="M53">INDEX(L:L,MIN(IF(ISNUMBER(L53:L249),ROW(L53:L249),"")))</f>
        <v>19.2</v>
      </c>
      <c r="N53" s="13">
        <f>IF('Données projet'!$A$36&gt;35,N52+M53-V52,IF(A53&lt;'Données projet'!$A$36,$K$205^A53,IF(A53='Données projet'!$A$36,'Données projet'!$B$36,N52+M53-V52)))</f>
        <v>691.00000000000011</v>
      </c>
      <c r="O53" s="13">
        <f>N53*VLOOKUP('Données projet'!$B$9,Paramètres!$A$1:$I$89,3,0)*VLOOKUP('Données projet'!$B$9,Paramètres!$A$1:$I$89,5,0)</f>
        <v>386.26900000000006</v>
      </c>
      <c r="P53" s="13">
        <f t="shared" si="33"/>
        <v>88.987281787109026</v>
      </c>
      <c r="Q53" s="20">
        <f t="shared" si="53"/>
        <v>827.73802411254826</v>
      </c>
      <c r="R53" s="59">
        <f t="shared" si="0"/>
        <v>1121.0713574458816</v>
      </c>
      <c r="S53" s="59">
        <f ca="1">AVERAGE(OFFSET($R$3,0,0,'Données projet'!$E$9+1,1))-AVERAGE(OFFSET($H$3,0,0,'Données projet'!$E$9+1,1))</f>
        <v>534.78683721545372</v>
      </c>
      <c r="T53" s="59">
        <f t="shared" si="34"/>
        <v>710.59298755711075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75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5.0689964523118576</v>
      </c>
      <c r="AA53" s="21">
        <f>EXP(-LN(2)/25)*AA52+(1-EXP(-LN(2)/25))/(LN(2)/25)*Calculateur!V53*Calculateur!X53*VLOOKUP('Données projet'!$B$9,Paramètres!$A$1:$I$89,3,0)*0.475*44/12</f>
        <v>11.703051725549622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16.772048177861478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-5.6843418860808015E-14</v>
      </c>
      <c r="AJ53" s="13">
        <f>AI53*VLOOKUP('Données projet'!$B$10,Paramètres!$A$1:$I$89,3,0)*VLOOKUP('Données projet'!$B$10,Paramètres!$A$1:$I$89,5,0)</f>
        <v>-3.1036506698001178E-14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207.02306964567629</v>
      </c>
      <c r="AO53" s="59">
        <f t="shared" si="36"/>
        <v>342.06887933351783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13.253290476765779</v>
      </c>
      <c r="AV53" s="21">
        <f>EXP(-LN(2)/25)*AV52+(1-EXP(-LN(2)/25))/(LN(2)/25)*Calculateur!AQ53*Calculateur!AS53*VLOOKUP('Données projet'!$B$10,Paramètres!$A$1:$I$89,3,0)*0.475*44/12</f>
        <v>24.693298216999814</v>
      </c>
      <c r="AW53" s="21">
        <f>EXP(-LN(2)/2)*AW52+(1-EXP(-LN(2)/2))/(LN(2)/2)*AQ53*AT53*VLOOKUP('Données projet'!$B$10,Paramètres!$A$1:$I$89,3,0)*0.475*44/12</f>
        <v>1.0934633438862456E-2</v>
      </c>
      <c r="AX53" s="21">
        <f t="shared" si="6"/>
        <v>37.957523327204456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-1.1368683772161603E-13</v>
      </c>
      <c r="BE53" s="13">
        <f>BD53*VLOOKUP('Données projet'!$B$11,Paramètres!$A$1:$I$89,3,0)*VLOOKUP('Données projet'!$B$11,Paramètres!$A$1:$I$89,5,0)</f>
        <v>-5.3205440053716299E-14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345.45636360520137</v>
      </c>
      <c r="BJ53" s="59">
        <f t="shared" si="38"/>
        <v>469.30074822262549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9.0714807091047103</v>
      </c>
      <c r="BQ53" s="21">
        <f>EXP(-LN(2)/25)*BQ52+(1-EXP(-LN(2)/25))/(LN(2)/25)*Calculateur!BL53*Calculateur!BN53*VLOOKUP('Données projet'!$B$11,Paramètres!$A$1:$I$89,3,0)*0.475*44/12</f>
        <v>10.591779398818126</v>
      </c>
      <c r="BR53" s="21">
        <f>EXP(-LN(2)/2)*BR52+(1-EXP(-LN(2)/2))/(LN(2)/2)*BL53*BO53*VLOOKUP('Données projet'!$B$11,Paramètres!$A$1:$I$89,3,0)*0.475*44/12</f>
        <v>7.4738804118073049E-3</v>
      </c>
      <c r="BS53" s="22">
        <f t="shared" si="9"/>
        <v>19.670733988334646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17.8</v>
      </c>
      <c r="N54" s="13">
        <f>IF('Données projet'!$A$36&gt;35,N53+M54-V53,IF(A54&lt;'Données projet'!$A$36,$K$205^A54,IF(A54='Données projet'!$A$36,'Données projet'!$B$36,N53+M54-V53)))</f>
        <v>633.80000000000007</v>
      </c>
      <c r="O54" s="13">
        <f>N54*VLOOKUP('Données projet'!$B$9,Paramètres!$A$1:$I$89,3,0)*VLOOKUP('Données projet'!$B$9,Paramètres!$A$1:$I$89,5,0)</f>
        <v>354.2942000000001</v>
      </c>
      <c r="P54" s="13">
        <f t="shared" si="33"/>
        <v>82.446103089690695</v>
      </c>
      <c r="Q54" s="20">
        <f t="shared" si="53"/>
        <v>760.65602788121134</v>
      </c>
      <c r="R54" s="59">
        <f t="shared" si="0"/>
        <v>1053.9893612145447</v>
      </c>
      <c r="S54" s="59">
        <f ca="1">AVERAGE(OFFSET($R$3,0,0,'Données projet'!$E$9+1,1))-AVERAGE(OFFSET($H$3,0,0,'Données projet'!$E$9+1,1))</f>
        <v>534.78683721545372</v>
      </c>
      <c r="T54" s="59">
        <f t="shared" si="34"/>
        <v>710.59298755711075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4.9695965236645696</v>
      </c>
      <c r="AA54" s="21">
        <f>EXP(-LN(2)/25)*AA53+(1-EXP(-LN(2)/25))/(LN(2)/25)*Calculateur!V54*Calculateur!X54*VLOOKUP('Données projet'!$B$9,Paramètres!$A$1:$I$89,3,0)*0.475*44/12</f>
        <v>11.383031160677726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16.352627684342295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-5.6843418860808015E-14</v>
      </c>
      <c r="AJ54" s="13">
        <f>AI54*VLOOKUP('Données projet'!$B$10,Paramètres!$A$1:$I$89,3,0)*VLOOKUP('Données projet'!$B$10,Paramètres!$A$1:$I$89,5,0)</f>
        <v>-3.1036506698001178E-14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207.02306964567629</v>
      </c>
      <c r="AO54" s="59">
        <f t="shared" si="36"/>
        <v>342.06887933351783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12.993401534225393</v>
      </c>
      <c r="AV54" s="21">
        <f>EXP(-LN(2)/25)*AV53+(1-EXP(-LN(2)/25))/(LN(2)/25)*Calculateur!AQ54*Calculateur!AS54*VLOOKUP('Données projet'!$B$10,Paramètres!$A$1:$I$89,3,0)*0.475*44/12</f>
        <v>24.018058678691837</v>
      </c>
      <c r="AW54" s="21">
        <f>EXP(-LN(2)/2)*AW53+(1-EXP(-LN(2)/2))/(LN(2)/2)*AQ54*AT54*VLOOKUP('Données projet'!$B$10,Paramètres!$A$1:$I$89,3,0)*0.475*44/12</f>
        <v>7.7319534544088211E-3</v>
      </c>
      <c r="AX54" s="21">
        <f t="shared" si="6"/>
        <v>37.019192166371639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-1.1368683772161603E-13</v>
      </c>
      <c r="BE54" s="13">
        <f>BD54*VLOOKUP('Données projet'!$B$11,Paramètres!$A$1:$I$89,3,0)*VLOOKUP('Données projet'!$B$11,Paramètres!$A$1:$I$89,5,0)</f>
        <v>-5.3205440053716299E-14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345.45636360520137</v>
      </c>
      <c r="BJ54" s="59">
        <f t="shared" si="38"/>
        <v>469.30074822262549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8.8935945054560559</v>
      </c>
      <c r="BQ54" s="21">
        <f>EXP(-LN(2)/25)*BQ53+(1-EXP(-LN(2)/25))/(LN(2)/25)*Calculateur!BL54*Calculateur!BN54*VLOOKUP('Données projet'!$B$11,Paramètres!$A$1:$I$89,3,0)*0.475*44/12</f>
        <v>10.302146634159973</v>
      </c>
      <c r="BR54" s="21">
        <f>EXP(-LN(2)/2)*BR53+(1-EXP(-LN(2)/2))/(LN(2)/2)*BL54*BO54*VLOOKUP('Données projet'!$B$11,Paramètres!$A$1:$I$89,3,0)*0.475*44/12</f>
        <v>5.2848315209662522E-3</v>
      </c>
      <c r="BS54" s="22">
        <f t="shared" si="9"/>
        <v>19.201025971136996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17.8</v>
      </c>
      <c r="N55" s="13">
        <f>IF('Données projet'!$A$36&gt;35,N54+M55-V54,IF(A55&lt;'Données projet'!$A$36,$K$205^A55,IF(A55='Données projet'!$A$36,'Données projet'!$B$36,N54+M55-V54)))</f>
        <v>651.6</v>
      </c>
      <c r="O55" s="13">
        <f>N55*VLOOKUP('Données projet'!$B$9,Paramètres!$A$1:$I$89,3,0)*VLOOKUP('Données projet'!$B$9,Paramètres!$A$1:$I$89,5,0)</f>
        <v>364.24439999999998</v>
      </c>
      <c r="P55" s="13">
        <f t="shared" si="33"/>
        <v>84.488736755792686</v>
      </c>
      <c r="Q55" s="20">
        <f t="shared" si="53"/>
        <v>781.54354651633878</v>
      </c>
      <c r="R55" s="59">
        <f t="shared" si="0"/>
        <v>1074.8768798496722</v>
      </c>
      <c r="S55" s="59">
        <f ca="1">AVERAGE(OFFSET($R$3,0,0,'Données projet'!$E$9+1,1))-AVERAGE(OFFSET($H$3,0,0,'Données projet'!$E$9+1,1))</f>
        <v>534.78683721545372</v>
      </c>
      <c r="T55" s="59">
        <f t="shared" si="34"/>
        <v>710.59298755711075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4.8721457669900854</v>
      </c>
      <c r="AA55" s="21">
        <f>EXP(-LN(2)/25)*AA54+(1-EXP(-LN(2)/25))/(LN(2)/25)*Calculateur!V55*Calculateur!X55*VLOOKUP('Données projet'!$B$9,Paramètres!$A$1:$I$89,3,0)*0.475*44/12</f>
        <v>11.071761574981402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15.943907341971487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-5.6843418860808015E-14</v>
      </c>
      <c r="AJ55" s="13">
        <f>AI55*VLOOKUP('Données projet'!$B$10,Paramètres!$A$1:$I$89,3,0)*VLOOKUP('Données projet'!$B$10,Paramètres!$A$1:$I$89,5,0)</f>
        <v>-3.1036506698001178E-14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207.02306964567629</v>
      </c>
      <c r="AO55" s="59">
        <f t="shared" si="36"/>
        <v>342.06887933351783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12.738608855331622</v>
      </c>
      <c r="AV55" s="21">
        <f>EXP(-LN(2)/25)*AV54+(1-EXP(-LN(2)/25))/(LN(2)/25)*Calculateur!AQ55*Calculateur!AS55*VLOOKUP('Données projet'!$B$10,Paramètres!$A$1:$I$89,3,0)*0.475*44/12</f>
        <v>23.361283601068198</v>
      </c>
      <c r="AW55" s="21">
        <f>EXP(-LN(2)/2)*AW54+(1-EXP(-LN(2)/2))/(LN(2)/2)*AQ55*AT55*VLOOKUP('Données projet'!$B$10,Paramètres!$A$1:$I$89,3,0)*0.475*44/12</f>
        <v>5.4673167194312288E-3</v>
      </c>
      <c r="AX55" s="21">
        <f t="shared" si="6"/>
        <v>36.105359773119254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-1.1368683772161603E-13</v>
      </c>
      <c r="BE55" s="13">
        <f>BD55*VLOOKUP('Données projet'!$B$11,Paramètres!$A$1:$I$89,3,0)*VLOOKUP('Données projet'!$B$11,Paramètres!$A$1:$I$89,5,0)</f>
        <v>-5.3205440053716299E-14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345.45636360520137</v>
      </c>
      <c r="BJ55" s="59">
        <f t="shared" si="38"/>
        <v>469.30074822262549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8.7191965417610806</v>
      </c>
      <c r="BQ55" s="21">
        <f>EXP(-LN(2)/25)*BQ54+(1-EXP(-LN(2)/25))/(LN(2)/25)*Calculateur!BL55*Calculateur!BN55*VLOOKUP('Données projet'!$B$11,Paramètres!$A$1:$I$89,3,0)*0.475*44/12</f>
        <v>10.020433892682522</v>
      </c>
      <c r="BR55" s="21">
        <f>EXP(-LN(2)/2)*BR54+(1-EXP(-LN(2)/2))/(LN(2)/2)*BL55*BO55*VLOOKUP('Données projet'!$B$11,Paramètres!$A$1:$I$89,3,0)*0.475*44/12</f>
        <v>3.7369402059036529E-3</v>
      </c>
      <c r="BS55" s="22">
        <f t="shared" si="9"/>
        <v>18.743367374649509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17.8</v>
      </c>
      <c r="N56" s="13">
        <f>IF('Données projet'!$A$36&gt;35,N55+M56-V55,IF(A56&lt;'Données projet'!$A$36,$K$205^A56,IF(A56='Données projet'!$A$36,'Données projet'!$B$36,N55+M56-V55)))</f>
        <v>669.4</v>
      </c>
      <c r="O56" s="13">
        <f>N56*VLOOKUP('Données projet'!$B$9,Paramètres!$A$1:$I$89,3,0)*VLOOKUP('Données projet'!$B$9,Paramètres!$A$1:$I$89,5,0)</f>
        <v>374.19459999999998</v>
      </c>
      <c r="P56" s="13">
        <f t="shared" si="33"/>
        <v>86.524884836459236</v>
      </c>
      <c r="Q56" s="20">
        <f t="shared" si="53"/>
        <v>802.41976942349982</v>
      </c>
      <c r="R56" s="59">
        <f t="shared" si="0"/>
        <v>1095.7531027568332</v>
      </c>
      <c r="S56" s="59">
        <f ca="1">AVERAGE(OFFSET($R$3,0,0,'Données projet'!$E$9+1,1))-AVERAGE(OFFSET($H$3,0,0,'Données projet'!$E$9+1,1))</f>
        <v>534.78683721545372</v>
      </c>
      <c r="T56" s="59">
        <f t="shared" si="34"/>
        <v>710.59298755711075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4.7766059602148951</v>
      </c>
      <c r="AA56" s="21">
        <f>EXP(-LN(2)/25)*AA55+(1-EXP(-LN(2)/25))/(LN(2)/25)*Calculateur!V56*Calculateur!X56*VLOOKUP('Données projet'!$B$9,Paramètres!$A$1:$I$89,3,0)*0.475*44/12</f>
        <v>10.769003672474899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15.545609632689793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-5.6843418860808015E-14</v>
      </c>
      <c r="AJ56" s="13">
        <f>AI56*VLOOKUP('Données projet'!$B$10,Paramètres!$A$1:$I$89,3,0)*VLOOKUP('Données projet'!$B$10,Paramètres!$A$1:$I$89,5,0)</f>
        <v>-3.1036506698001178E-14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207.02306964567629</v>
      </c>
      <c r="AO56" s="59">
        <f t="shared" si="36"/>
        <v>342.06887933351783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12.488812505462768</v>
      </c>
      <c r="AV56" s="21">
        <f>EXP(-LN(2)/25)*AV55+(1-EXP(-LN(2)/25))/(LN(2)/25)*Calculateur!AQ56*Calculateur!AS56*VLOOKUP('Données projet'!$B$10,Paramètres!$A$1:$I$89,3,0)*0.475*44/12</f>
        <v>22.722468072480478</v>
      </c>
      <c r="AW56" s="21">
        <f>EXP(-LN(2)/2)*AW55+(1-EXP(-LN(2)/2))/(LN(2)/2)*AQ56*AT56*VLOOKUP('Données projet'!$B$10,Paramètres!$A$1:$I$89,3,0)*0.475*44/12</f>
        <v>3.865976727204411E-3</v>
      </c>
      <c r="AX56" s="21">
        <f t="shared" si="6"/>
        <v>35.215146554670447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-1.1368683772161603E-13</v>
      </c>
      <c r="BE56" s="13">
        <f>BD56*VLOOKUP('Données projet'!$B$11,Paramètres!$A$1:$I$89,3,0)*VLOOKUP('Données projet'!$B$11,Paramètres!$A$1:$I$89,5,0)</f>
        <v>-5.3205440053716299E-14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345.45636360520137</v>
      </c>
      <c r="BJ56" s="59">
        <f t="shared" si="38"/>
        <v>469.30074822262549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8.5482184157619088</v>
      </c>
      <c r="BQ56" s="21">
        <f>EXP(-LN(2)/25)*BQ55+(1-EXP(-LN(2)/25))/(LN(2)/25)*Calculateur!BL56*Calculateur!BN56*VLOOKUP('Données projet'!$B$11,Paramètres!$A$1:$I$89,3,0)*0.475*44/12</f>
        <v>9.7464246009354021</v>
      </c>
      <c r="BR56" s="21">
        <f>EXP(-LN(2)/2)*BR55+(1-EXP(-LN(2)/2))/(LN(2)/2)*BL56*BO56*VLOOKUP('Données projet'!$B$11,Paramètres!$A$1:$I$89,3,0)*0.475*44/12</f>
        <v>2.6424157604831261E-3</v>
      </c>
      <c r="BS56" s="22">
        <f t="shared" si="9"/>
        <v>18.297285432457794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17.8</v>
      </c>
      <c r="N57" s="13">
        <f>IF('Données projet'!$A$36&gt;35,N56+M57-V56,IF(A57&lt;'Données projet'!$A$36,$K$205^A57,IF(A57='Données projet'!$A$36,'Données projet'!$B$36,N56+M57-V56)))</f>
        <v>687.19999999999993</v>
      </c>
      <c r="O57" s="13">
        <f>N57*VLOOKUP('Données projet'!$B$9,Paramètres!$A$1:$I$89,3,0)*VLOOKUP('Données projet'!$B$9,Paramètres!$A$1:$I$89,5,0)</f>
        <v>384.14479999999998</v>
      </c>
      <c r="P57" s="13">
        <f t="shared" si="33"/>
        <v>88.554739612081832</v>
      </c>
      <c r="Q57" s="20">
        <f t="shared" si="53"/>
        <v>823.28503149104245</v>
      </c>
      <c r="R57" s="59">
        <f t="shared" si="0"/>
        <v>1116.6183648243757</v>
      </c>
      <c r="S57" s="59">
        <f ca="1">AVERAGE(OFFSET($R$3,0,0,'Données projet'!$E$9+1,1))-AVERAGE(OFFSET($H$3,0,0,'Données projet'!$E$9+1,1))</f>
        <v>534.78683721545372</v>
      </c>
      <c r="T57" s="59">
        <f t="shared" si="34"/>
        <v>710.59298755711075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4.6829396307770379</v>
      </c>
      <c r="AA57" s="21">
        <f>EXP(-LN(2)/25)*AA56+(1-EXP(-LN(2)/25))/(LN(2)/25)*Calculateur!V57*Calculateur!X57*VLOOKUP('Données projet'!$B$9,Paramètres!$A$1:$I$89,3,0)*0.475*44/12</f>
        <v>10.474524700733783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15.15746433151082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-5.6843418860808015E-14</v>
      </c>
      <c r="AJ57" s="13">
        <f>AI57*VLOOKUP('Données projet'!$B$10,Paramètres!$A$1:$I$89,3,0)*VLOOKUP('Données projet'!$B$10,Paramètres!$A$1:$I$89,5,0)</f>
        <v>-3.1036506698001178E-14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207.02306964567629</v>
      </c>
      <c r="AO57" s="59">
        <f t="shared" si="36"/>
        <v>342.06887933351783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12.243914509654113</v>
      </c>
      <c r="AV57" s="21">
        <f>EXP(-LN(2)/25)*AV56+(1-EXP(-LN(2)/25))/(LN(2)/25)*Calculateur!AQ57*Calculateur!AS57*VLOOKUP('Données projet'!$B$10,Paramètres!$A$1:$I$89,3,0)*0.475*44/12</f>
        <v>22.101120988115834</v>
      </c>
      <c r="AW57" s="21">
        <f>EXP(-LN(2)/2)*AW56+(1-EXP(-LN(2)/2))/(LN(2)/2)*AQ57*AT57*VLOOKUP('Données projet'!$B$10,Paramètres!$A$1:$I$89,3,0)*0.475*44/12</f>
        <v>2.7336583597156149E-3</v>
      </c>
      <c r="AX57" s="21">
        <f t="shared" si="6"/>
        <v>34.347769156129665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-1.1368683772161603E-13</v>
      </c>
      <c r="BE57" s="13">
        <f>BD57*VLOOKUP('Données projet'!$B$11,Paramètres!$A$1:$I$89,3,0)*VLOOKUP('Données projet'!$B$11,Paramètres!$A$1:$I$89,5,0)</f>
        <v>-5.3205440053716299E-14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345.45636360520137</v>
      </c>
      <c r="BJ57" s="59">
        <f t="shared" si="38"/>
        <v>469.30074822262549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8.3805930665272221</v>
      </c>
      <c r="BQ57" s="21">
        <f>EXP(-LN(2)/25)*BQ56+(1-EXP(-LN(2)/25))/(LN(2)/25)*Calculateur!BL57*Calculateur!BN57*VLOOKUP('Données projet'!$B$11,Paramètres!$A$1:$I$89,3,0)*0.475*44/12</f>
        <v>9.4799081076806289</v>
      </c>
      <c r="BR57" s="21">
        <f>EXP(-LN(2)/2)*BR56+(1-EXP(-LN(2)/2))/(LN(2)/2)*BL57*BO57*VLOOKUP('Données projet'!$B$11,Paramètres!$A$1:$I$89,3,0)*0.475*44/12</f>
        <v>1.8684701029518264E-3</v>
      </c>
      <c r="BS57" s="22">
        <f t="shared" si="9"/>
        <v>17.862369644310803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705</v>
      </c>
      <c r="L58" s="12">
        <f>VLOOKUP(A58,'Données projet'!$A$35:$I$55,9,0)</f>
        <v>17.8</v>
      </c>
      <c r="M58" s="12">
        <f t="array" ref="M58">INDEX(L:L,MIN(IF(ISNUMBER(L58:L254),ROW(L58:L254),"")))</f>
        <v>17.8</v>
      </c>
      <c r="N58" s="13">
        <f>IF('Données projet'!$A$36&gt;35,N57+M58-V57,IF(A58&lt;'Données projet'!$A$36,$K$205^A58,IF(A58='Données projet'!$A$36,'Données projet'!$B$36,N57+M58-V57)))</f>
        <v>704.99999999999989</v>
      </c>
      <c r="O58" s="13">
        <f>N58*VLOOKUP('Données projet'!$B$9,Paramètres!$A$1:$I$89,3,0)*VLOOKUP('Données projet'!$B$9,Paramètres!$A$1:$I$89,5,0)</f>
        <v>394.09499999999991</v>
      </c>
      <c r="P58" s="13">
        <f t="shared" si="33"/>
        <v>90.578482834670083</v>
      </c>
      <c r="Q58" s="20">
        <f t="shared" si="53"/>
        <v>844.13964927038353</v>
      </c>
      <c r="R58" s="59">
        <f t="shared" si="0"/>
        <v>1137.4729826037169</v>
      </c>
      <c r="S58" s="59">
        <f ca="1">AVERAGE(OFFSET($R$3,0,0,'Données projet'!$E$9+1,1))-AVERAGE(OFFSET($H$3,0,0,'Données projet'!$E$9+1,1))</f>
        <v>534.78683721545372</v>
      </c>
      <c r="T58" s="59">
        <f t="shared" si="34"/>
        <v>710.59298755711075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66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4.5911100409286378</v>
      </c>
      <c r="AA58" s="21">
        <f>EXP(-LN(2)/25)*AA57+(1-EXP(-LN(2)/25))/(LN(2)/25)*Calculateur!V58*Calculateur!X58*VLOOKUP('Données projet'!$B$9,Paramètres!$A$1:$I$89,3,0)*0.475*44/12</f>
        <v>10.188098271960904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14.779208312889541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-5.6843418860808015E-14</v>
      </c>
      <c r="AJ58" s="13">
        <f>AI58*VLOOKUP('Données projet'!$B$10,Paramètres!$A$1:$I$89,3,0)*VLOOKUP('Données projet'!$B$10,Paramètres!$A$1:$I$89,5,0)</f>
        <v>-3.1036506698001178E-14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207.02306964567629</v>
      </c>
      <c r="AO58" s="59">
        <f t="shared" si="36"/>
        <v>342.06887933351783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12.003818814170238</v>
      </c>
      <c r="AV58" s="21">
        <f>EXP(-LN(2)/25)*AV57+(1-EXP(-LN(2)/25))/(LN(2)/25)*Calculateur!AQ58*Calculateur!AS58*VLOOKUP('Données projet'!$B$10,Paramètres!$A$1:$I$89,3,0)*0.475*44/12</f>
        <v>21.496764672448368</v>
      </c>
      <c r="AW58" s="21">
        <f>EXP(-LN(2)/2)*AW57+(1-EXP(-LN(2)/2))/(LN(2)/2)*AQ58*AT58*VLOOKUP('Données projet'!$B$10,Paramètres!$A$1:$I$89,3,0)*0.475*44/12</f>
        <v>1.9329883636022059E-3</v>
      </c>
      <c r="AX58" s="21">
        <f t="shared" si="6"/>
        <v>33.502516474982208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-1.1368683772161603E-13</v>
      </c>
      <c r="BE58" s="13">
        <f>BD58*VLOOKUP('Données projet'!$B$11,Paramètres!$A$1:$I$89,3,0)*VLOOKUP('Données projet'!$B$11,Paramètres!$A$1:$I$89,5,0)</f>
        <v>-5.3205440053716299E-14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345.45636360520137</v>
      </c>
      <c r="BJ58" s="59">
        <f t="shared" si="38"/>
        <v>469.30074822262549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8.2162547481496588</v>
      </c>
      <c r="BQ58" s="21">
        <f>EXP(-LN(2)/25)*BQ57+(1-EXP(-LN(2)/25))/(LN(2)/25)*Calculateur!BL58*Calculateur!BN58*VLOOKUP('Données projet'!$B$11,Paramètres!$A$1:$I$89,3,0)*0.475*44/12</f>
        <v>9.2206795219494015</v>
      </c>
      <c r="BR58" s="21">
        <f>EXP(-LN(2)/2)*BR57+(1-EXP(-LN(2)/2))/(LN(2)/2)*BL58*BO58*VLOOKUP('Données projet'!$B$11,Paramètres!$A$1:$I$89,3,0)*0.475*44/12</f>
        <v>1.321207880241563E-3</v>
      </c>
      <c r="BS58" s="22">
        <f t="shared" si="9"/>
        <v>17.4382554779793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16.8</v>
      </c>
      <c r="N59" s="13">
        <f>IF('Données projet'!$A$36&gt;35,N58+M59-V58,IF(A59&lt;'Données projet'!$A$36,$K$205^A59,IF(A59='Données projet'!$A$36,'Données projet'!$B$36,N58+M59-V58)))</f>
        <v>655.79999999999984</v>
      </c>
      <c r="O59" s="13">
        <f>N59*VLOOKUP('Données projet'!$B$9,Paramètres!$A$1:$I$89,3,0)*VLOOKUP('Données projet'!$B$9,Paramètres!$A$1:$I$89,5,0)</f>
        <v>366.59219999999988</v>
      </c>
      <c r="P59" s="13">
        <f t="shared" si="33"/>
        <v>84.969753481055022</v>
      </c>
      <c r="Q59" s="20">
        <f t="shared" si="53"/>
        <v>786.47040231283734</v>
      </c>
      <c r="R59" s="59">
        <f t="shared" si="0"/>
        <v>1079.8037356461707</v>
      </c>
      <c r="S59" s="59">
        <f ca="1">AVERAGE(OFFSET($R$3,0,0,'Données projet'!$E$9+1,1))-AVERAGE(OFFSET($H$3,0,0,'Données projet'!$E$9+1,1))</f>
        <v>534.78683721545372</v>
      </c>
      <c r="T59" s="59">
        <f t="shared" si="34"/>
        <v>710.59298755711075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4.5010811733266456</v>
      </c>
      <c r="AA59" s="21">
        <f>EXP(-LN(2)/25)*AA58+(1-EXP(-LN(2)/25))/(LN(2)/25)*Calculateur!V59*Calculateur!X59*VLOOKUP('Données projet'!$B$9,Paramètres!$A$1:$I$89,3,0)*0.475*44/12</f>
        <v>9.9095041889453306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14.410585362271977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-5.6843418860808015E-14</v>
      </c>
      <c r="AJ59" s="13">
        <f>AI59*VLOOKUP('Données projet'!$B$10,Paramètres!$A$1:$I$89,3,0)*VLOOKUP('Données projet'!$B$10,Paramètres!$A$1:$I$89,5,0)</f>
        <v>-3.1036506698001178E-14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207.02306964567629</v>
      </c>
      <c r="AO59" s="59">
        <f t="shared" si="36"/>
        <v>342.06887933351783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11.768431248830888</v>
      </c>
      <c r="AV59" s="21">
        <f>EXP(-LN(2)/25)*AV58+(1-EXP(-LN(2)/25))/(LN(2)/25)*Calculateur!AQ59*Calculateur!AS59*VLOOKUP('Données projet'!$B$10,Paramètres!$A$1:$I$89,3,0)*0.475*44/12</f>
        <v>20.908934512014543</v>
      </c>
      <c r="AW59" s="21">
        <f>EXP(-LN(2)/2)*AW58+(1-EXP(-LN(2)/2))/(LN(2)/2)*AQ59*AT59*VLOOKUP('Données projet'!$B$10,Paramètres!$A$1:$I$89,3,0)*0.475*44/12</f>
        <v>1.3668291798578076E-3</v>
      </c>
      <c r="AX59" s="21">
        <f t="shared" si="6"/>
        <v>32.678732590025291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-1.1368683772161603E-13</v>
      </c>
      <c r="BE59" s="13">
        <f>BD59*VLOOKUP('Données projet'!$B$11,Paramètres!$A$1:$I$89,3,0)*VLOOKUP('Données projet'!$B$11,Paramètres!$A$1:$I$89,5,0)</f>
        <v>-5.3205440053716299E-14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345.45636360520137</v>
      </c>
      <c r="BJ59" s="59">
        <f t="shared" si="38"/>
        <v>469.30074822262549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8.0551390039590043</v>
      </c>
      <c r="BQ59" s="21">
        <f>EXP(-LN(2)/25)*BQ58+(1-EXP(-LN(2)/25))/(LN(2)/25)*Calculateur!BL59*Calculateur!BN59*VLOOKUP('Données projet'!$B$11,Paramètres!$A$1:$I$89,3,0)*0.475*44/12</f>
        <v>8.9685395555272329</v>
      </c>
      <c r="BR59" s="21">
        <f>EXP(-LN(2)/2)*BR58+(1-EXP(-LN(2)/2))/(LN(2)/2)*BL59*BO59*VLOOKUP('Données projet'!$B$11,Paramètres!$A$1:$I$89,3,0)*0.475*44/12</f>
        <v>9.3423505147591322E-4</v>
      </c>
      <c r="BS59" s="22">
        <f t="shared" si="9"/>
        <v>17.02461279453771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16.8</v>
      </c>
      <c r="N60" s="13">
        <f>IF('Données projet'!$A$36&gt;35,N59+M60-V59,IF(A60&lt;'Données projet'!$A$36,$K$205^A60,IF(A60='Données projet'!$A$36,'Données projet'!$B$36,N59+M60-V59)))</f>
        <v>672.5999999999998</v>
      </c>
      <c r="O60" s="13">
        <f>N60*VLOOKUP('Données projet'!$B$9,Paramètres!$A$1:$I$89,3,0)*VLOOKUP('Données projet'!$B$9,Paramètres!$A$1:$I$89,5,0)</f>
        <v>375.9833999999999</v>
      </c>
      <c r="P60" s="13">
        <f t="shared" si="33"/>
        <v>86.890261138472837</v>
      </c>
      <c r="Q60" s="20">
        <f t="shared" si="53"/>
        <v>806.17162648284011</v>
      </c>
      <c r="R60" s="59">
        <f t="shared" si="0"/>
        <v>1099.5049598161734</v>
      </c>
      <c r="S60" s="59">
        <f ca="1">AVERAGE(OFFSET($R$3,0,0,'Données projet'!$E$9+1,1))-AVERAGE(OFFSET($H$3,0,0,'Données projet'!$E$9+1,1))</f>
        <v>534.78683721545372</v>
      </c>
      <c r="T60" s="59">
        <f t="shared" si="34"/>
        <v>710.59298755711075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4.4128177169061411</v>
      </c>
      <c r="AA60" s="21">
        <f>EXP(-LN(2)/25)*AA59+(1-EXP(-LN(2)/25))/(LN(2)/25)*Calculateur!V60*Calculateur!X60*VLOOKUP('Données projet'!$B$9,Paramètres!$A$1:$I$89,3,0)*0.475*44/12</f>
        <v>9.6385282757804429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14.051345992686585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-5.6843418860808015E-14</v>
      </c>
      <c r="AJ60" s="13">
        <f>AI60*VLOOKUP('Données projet'!$B$10,Paramètres!$A$1:$I$89,3,0)*VLOOKUP('Données projet'!$B$10,Paramètres!$A$1:$I$89,5,0)</f>
        <v>-3.1036506698001178E-14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207.02306964567629</v>
      </c>
      <c r="AO60" s="59">
        <f t="shared" si="36"/>
        <v>342.06887933351783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11.537659490075605</v>
      </c>
      <c r="AV60" s="21">
        <f>EXP(-LN(2)/25)*AV59+(1-EXP(-LN(2)/25))/(LN(2)/25)*Calculateur!AQ60*Calculateur!AS60*VLOOKUP('Données projet'!$B$10,Paramètres!$A$1:$I$89,3,0)*0.475*44/12</f>
        <v>20.337178598230427</v>
      </c>
      <c r="AW60" s="21">
        <f>EXP(-LN(2)/2)*AW59+(1-EXP(-LN(2)/2))/(LN(2)/2)*AQ60*AT60*VLOOKUP('Données projet'!$B$10,Paramètres!$A$1:$I$89,3,0)*0.475*44/12</f>
        <v>9.6649418180110307E-4</v>
      </c>
      <c r="AX60" s="21">
        <f t="shared" si="6"/>
        <v>31.875804582487831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-1.1368683772161603E-13</v>
      </c>
      <c r="BE60" s="13">
        <f>BD60*VLOOKUP('Données projet'!$B$11,Paramètres!$A$1:$I$89,3,0)*VLOOKUP('Données projet'!$B$11,Paramètres!$A$1:$I$89,5,0)</f>
        <v>-5.3205440053716299E-14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345.45636360520137</v>
      </c>
      <c r="BJ60" s="59">
        <f t="shared" si="38"/>
        <v>469.30074822262549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7.8971826412410273</v>
      </c>
      <c r="BQ60" s="21">
        <f>EXP(-LN(2)/25)*BQ59+(1-EXP(-LN(2)/25))/(LN(2)/25)*Calculateur!BL60*Calculateur!BN60*VLOOKUP('Données projet'!$B$11,Paramètres!$A$1:$I$89,3,0)*0.475*44/12</f>
        <v>8.723294369746343</v>
      </c>
      <c r="BR60" s="21">
        <f>EXP(-LN(2)/2)*BR59+(1-EXP(-LN(2)/2))/(LN(2)/2)*BL60*BO60*VLOOKUP('Données projet'!$B$11,Paramètres!$A$1:$I$89,3,0)*0.475*44/12</f>
        <v>6.6060394012078152E-4</v>
      </c>
      <c r="BS60" s="22">
        <f t="shared" si="9"/>
        <v>16.621137614927491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16.8</v>
      </c>
      <c r="N61" s="13">
        <f>IF('Données projet'!$A$36&gt;35,N60+M61-V60,IF(A61&lt;'Données projet'!$A$36,$K$205^A61,IF(A61='Données projet'!$A$36,'Données projet'!$B$36,N60+M61-V60)))</f>
        <v>689.39999999999975</v>
      </c>
      <c r="O61" s="13">
        <f>N61*VLOOKUP('Données projet'!$B$9,Paramètres!$A$1:$I$89,3,0)*VLOOKUP('Données projet'!$B$9,Paramètres!$A$1:$I$89,5,0)</f>
        <v>385.37459999999987</v>
      </c>
      <c r="P61" s="13">
        <f t="shared" si="33"/>
        <v>88.805192600445807</v>
      </c>
      <c r="Q61" s="20">
        <f t="shared" si="53"/>
        <v>825.86313877910959</v>
      </c>
      <c r="R61" s="59">
        <f t="shared" si="0"/>
        <v>1119.196472112443</v>
      </c>
      <c r="S61" s="59">
        <f ca="1">AVERAGE(OFFSET($R$3,0,0,'Données projet'!$E$9+1,1))-AVERAGE(OFFSET($H$3,0,0,'Données projet'!$E$9+1,1))</f>
        <v>534.78683721545372</v>
      </c>
      <c r="T61" s="59">
        <f t="shared" si="34"/>
        <v>710.59298755711075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4.3262850530306505</v>
      </c>
      <c r="AA61" s="21">
        <f>EXP(-LN(2)/25)*AA60+(1-EXP(-LN(2)/25))/(LN(2)/25)*Calculateur!V61*Calculateur!X61*VLOOKUP('Données projet'!$B$9,Paramètres!$A$1:$I$89,3,0)*0.475*44/12</f>
        <v>9.3749622132110542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13.701247266241705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-5.6843418860808015E-14</v>
      </c>
      <c r="AJ61" s="13">
        <f>AI61*VLOOKUP('Données projet'!$B$10,Paramètres!$A$1:$I$89,3,0)*VLOOKUP('Données projet'!$B$10,Paramètres!$A$1:$I$89,5,0)</f>
        <v>-3.1036506698001178E-14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207.02306964567629</v>
      </c>
      <c r="AO61" s="59">
        <f t="shared" si="36"/>
        <v>342.06887933351783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11.311413024752637</v>
      </c>
      <c r="AV61" s="21">
        <f>EXP(-LN(2)/25)*AV60+(1-EXP(-LN(2)/25))/(LN(2)/25)*Calculateur!AQ61*Calculateur!AS61*VLOOKUP('Données projet'!$B$10,Paramètres!$A$1:$I$89,3,0)*0.475*44/12</f>
        <v>19.781057379976076</v>
      </c>
      <c r="AW61" s="21">
        <f>EXP(-LN(2)/2)*AW60+(1-EXP(-LN(2)/2))/(LN(2)/2)*AQ61*AT61*VLOOKUP('Données projet'!$B$10,Paramètres!$A$1:$I$89,3,0)*0.475*44/12</f>
        <v>6.8341458992890393E-4</v>
      </c>
      <c r="AX61" s="21">
        <f t="shared" si="6"/>
        <v>31.093153819318644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-1.1368683772161603E-13</v>
      </c>
      <c r="BE61" s="13">
        <f>BD61*VLOOKUP('Données projet'!$B$11,Paramètres!$A$1:$I$89,3,0)*VLOOKUP('Données projet'!$B$11,Paramètres!$A$1:$I$89,5,0)</f>
        <v>-5.3205440053716299E-14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345.45636360520137</v>
      </c>
      <c r="BJ61" s="59">
        <f t="shared" si="38"/>
        <v>469.30074822262549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7.7423237064520816</v>
      </c>
      <c r="BQ61" s="21">
        <f>EXP(-LN(2)/25)*BQ60+(1-EXP(-LN(2)/25))/(LN(2)/25)*Calculateur!BL61*Calculateur!BN61*VLOOKUP('Données projet'!$B$11,Paramètres!$A$1:$I$89,3,0)*0.475*44/12</f>
        <v>8.4847554264675153</v>
      </c>
      <c r="BR61" s="21">
        <f>EXP(-LN(2)/2)*BR60+(1-EXP(-LN(2)/2))/(LN(2)/2)*BL61*BO61*VLOOKUP('Données projet'!$B$11,Paramètres!$A$1:$I$89,3,0)*0.475*44/12</f>
        <v>4.6711752573795661E-4</v>
      </c>
      <c r="BS61" s="22">
        <f t="shared" si="9"/>
        <v>16.227546250445336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16.8</v>
      </c>
      <c r="N62" s="13">
        <f>IF('Données projet'!$A$36&gt;35,N61+M62-V61,IF(A62&lt;'Données projet'!$A$36,$K$205^A62,IF(A62='Données projet'!$A$36,'Données projet'!$B$36,N61+M62-V61)))</f>
        <v>706.1999999999997</v>
      </c>
      <c r="O62" s="13">
        <f>N62*VLOOKUP('Données projet'!$B$9,Paramètres!$A$1:$I$89,3,0)*VLOOKUP('Données projet'!$B$9,Paramètres!$A$1:$I$89,5,0)</f>
        <v>394.76579999999984</v>
      </c>
      <c r="P62" s="13">
        <f t="shared" si="33"/>
        <v>90.714699385924675</v>
      </c>
      <c r="Q62" s="20">
        <f t="shared" si="53"/>
        <v>845.5452030971519</v>
      </c>
      <c r="R62" s="59">
        <f t="shared" si="0"/>
        <v>1138.8785364304852</v>
      </c>
      <c r="S62" s="59">
        <f ca="1">AVERAGE(OFFSET($R$3,0,0,'Données projet'!$E$9+1,1))-AVERAGE(OFFSET($H$3,0,0,'Données projet'!$E$9+1,1))</f>
        <v>534.78683721545372</v>
      </c>
      <c r="T62" s="59">
        <f t="shared" si="34"/>
        <v>710.59298755711075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4.2414492419140446</v>
      </c>
      <c r="AA62" s="21">
        <f>EXP(-LN(2)/25)*AA61+(1-EXP(-LN(2)/25))/(LN(2)/25)*Calculateur!V62*Calculateur!X62*VLOOKUP('Données projet'!$B$9,Paramètres!$A$1:$I$89,3,0)*0.475*44/12</f>
        <v>9.1186033784829625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13.360052620397006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-5.6843418860808015E-14</v>
      </c>
      <c r="AJ62" s="13">
        <f>AI62*VLOOKUP('Données projet'!$B$10,Paramètres!$A$1:$I$89,3,0)*VLOOKUP('Données projet'!$B$10,Paramètres!$A$1:$I$89,5,0)</f>
        <v>-3.1036506698001178E-14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207.02306964567629</v>
      </c>
      <c r="AO62" s="59">
        <f t="shared" si="36"/>
        <v>342.06887933351783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11.089603114617935</v>
      </c>
      <c r="AV62" s="21">
        <f>EXP(-LN(2)/25)*AV61+(1-EXP(-LN(2)/25))/(LN(2)/25)*Calculateur!AQ62*Calculateur!AS62*VLOOKUP('Données projet'!$B$10,Paramètres!$A$1:$I$89,3,0)*0.475*44/12</f>
        <v>19.240143325680034</v>
      </c>
      <c r="AW62" s="21">
        <f>EXP(-LN(2)/2)*AW61+(1-EXP(-LN(2)/2))/(LN(2)/2)*AQ62*AT62*VLOOKUP('Données projet'!$B$10,Paramètres!$A$1:$I$89,3,0)*0.475*44/12</f>
        <v>4.8324709090055159E-4</v>
      </c>
      <c r="AX62" s="21">
        <f t="shared" si="6"/>
        <v>30.330229687388869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-1.1368683772161603E-13</v>
      </c>
      <c r="BE62" s="13">
        <f>BD62*VLOOKUP('Données projet'!$B$11,Paramètres!$A$1:$I$89,3,0)*VLOOKUP('Données projet'!$B$11,Paramètres!$A$1:$I$89,5,0)</f>
        <v>-5.3205440053716299E-14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345.45636360520137</v>
      </c>
      <c r="BJ62" s="59">
        <f t="shared" si="38"/>
        <v>469.30074822262549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7.5905014609197234</v>
      </c>
      <c r="BQ62" s="21">
        <f>EXP(-LN(2)/25)*BQ61+(1-EXP(-LN(2)/25))/(LN(2)/25)*Calculateur!BL62*Calculateur!BN62*VLOOKUP('Données projet'!$B$11,Paramètres!$A$1:$I$89,3,0)*0.475*44/12</f>
        <v>8.2527393431368647</v>
      </c>
      <c r="BR62" s="21">
        <f>EXP(-LN(2)/2)*BR61+(1-EXP(-LN(2)/2))/(LN(2)/2)*BL62*BO62*VLOOKUP('Données projet'!$B$11,Paramètres!$A$1:$I$89,3,0)*0.475*44/12</f>
        <v>3.3030197006039076E-4</v>
      </c>
      <c r="BS62" s="22">
        <f t="shared" si="9"/>
        <v>15.843571106026648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723</v>
      </c>
      <c r="L63" s="12">
        <f>VLOOKUP(A63,'Données projet'!$A$35:$I$55,9,0)</f>
        <v>16.8</v>
      </c>
      <c r="M63" s="12">
        <f t="array" ref="M63">INDEX(L:L,MIN(IF(ISNUMBER(L63:L259),ROW(L63:L259),"")))</f>
        <v>16.8</v>
      </c>
      <c r="N63" s="13">
        <f>IF('Données projet'!$A$36&gt;35,N62+M63-V62,IF(A63&lt;'Données projet'!$A$36,$K$205^A63,IF(A63='Données projet'!$A$36,'Données projet'!$B$36,N62+M63-V62)))</f>
        <v>722.99999999999966</v>
      </c>
      <c r="O63" s="13">
        <f>N63*VLOOKUP('Données projet'!$B$9,Paramètres!$A$1:$I$89,3,0)*VLOOKUP('Données projet'!$B$9,Paramètres!$A$1:$I$89,5,0)</f>
        <v>404.15699999999987</v>
      </c>
      <c r="P63" s="13">
        <f t="shared" si="33"/>
        <v>92.618925393623158</v>
      </c>
      <c r="Q63" s="20">
        <f t="shared" si="53"/>
        <v>865.21807006056008</v>
      </c>
      <c r="R63" s="59">
        <f t="shared" si="0"/>
        <v>1158.5514033938935</v>
      </c>
      <c r="S63" s="59">
        <f ca="1">AVERAGE(OFFSET($R$3,0,0,'Données projet'!$E$9+1,1))-AVERAGE(OFFSET($H$3,0,0,'Données projet'!$E$9+1,1))</f>
        <v>534.78683721545372</v>
      </c>
      <c r="T63" s="59">
        <f t="shared" si="34"/>
        <v>710.59298755711075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723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4.1582770093086996</v>
      </c>
      <c r="AA63" s="21">
        <f>EXP(-LN(2)/25)*AA62+(1-EXP(-LN(2)/25))/(LN(2)/25)*Calculateur!V63*Calculateur!X63*VLOOKUP('Données projet'!$B$9,Paramètres!$A$1:$I$89,3,0)*0.475*44/12</f>
        <v>8.8692546895718358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13.027531698880535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-5.6843418860808015E-14</v>
      </c>
      <c r="AJ63" s="13">
        <f>AI63*VLOOKUP('Données projet'!$B$10,Paramètres!$A$1:$I$89,3,0)*VLOOKUP('Données projet'!$B$10,Paramètres!$A$1:$I$89,5,0)</f>
        <v>-3.1036506698001178E-14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207.02306964567629</v>
      </c>
      <c r="AO63" s="59">
        <f t="shared" si="36"/>
        <v>342.06887933351783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10.872142761530288</v>
      </c>
      <c r="AV63" s="21">
        <f>EXP(-LN(2)/25)*AV62+(1-EXP(-LN(2)/25))/(LN(2)/25)*Calculateur!AQ63*Calculateur!AS63*VLOOKUP('Données projet'!$B$10,Paramètres!$A$1:$I$89,3,0)*0.475*44/12</f>
        <v>18.71402059464415</v>
      </c>
      <c r="AW63" s="21">
        <f>EXP(-LN(2)/2)*AW62+(1-EXP(-LN(2)/2))/(LN(2)/2)*AQ63*AT63*VLOOKUP('Données projet'!$B$10,Paramètres!$A$1:$I$89,3,0)*0.475*44/12</f>
        <v>3.4170729496445202E-4</v>
      </c>
      <c r="AX63" s="21">
        <f t="shared" si="6"/>
        <v>29.586505063469403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-1.1368683772161603E-13</v>
      </c>
      <c r="BE63" s="13">
        <f>BD63*VLOOKUP('Données projet'!$B$11,Paramètres!$A$1:$I$89,3,0)*VLOOKUP('Données projet'!$B$11,Paramètres!$A$1:$I$89,5,0)</f>
        <v>-5.3205440053716299E-14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345.45636360520137</v>
      </c>
      <c r="BJ63" s="59">
        <f t="shared" si="38"/>
        <v>469.30074822262549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7.4416563570198289</v>
      </c>
      <c r="BQ63" s="21">
        <f>EXP(-LN(2)/25)*BQ62+(1-EXP(-LN(2)/25))/(LN(2)/25)*Calculateur!BL63*Calculateur!BN63*VLOOKUP('Données projet'!$B$11,Paramètres!$A$1:$I$89,3,0)*0.475*44/12</f>
        <v>8.0270677518060864</v>
      </c>
      <c r="BR63" s="21">
        <f>EXP(-LN(2)/2)*BR62+(1-EXP(-LN(2)/2))/(LN(2)/2)*BL63*BO63*VLOOKUP('Données projet'!$B$11,Paramètres!$A$1:$I$89,3,0)*0.475*44/12</f>
        <v>2.335587628689783E-4</v>
      </c>
      <c r="BS63" s="22">
        <f t="shared" si="9"/>
        <v>15.468957667588784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-3.4106051316484809E-13</v>
      </c>
      <c r="O64" s="13">
        <f>N64*VLOOKUP('Données projet'!$B$9,Paramètres!$A$1:$I$89,3,0)*VLOOKUP('Données projet'!$B$9,Paramètres!$A$1:$I$89,5,0)</f>
        <v>-1.9065282685915009E-13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534.78683721545372</v>
      </c>
      <c r="T64" s="59">
        <f t="shared" si="34"/>
        <v>710.59298755711075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4.0767357334546928</v>
      </c>
      <c r="AA64" s="21">
        <f>EXP(-LN(2)/25)*AA63+(1-EXP(-LN(2)/25))/(LN(2)/25)*Calculateur!V64*Calculateur!X64*VLOOKUP('Données projet'!$B$9,Paramètres!$A$1:$I$89,3,0)*0.475*44/12</f>
        <v>8.6267244536716614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12.703460187126353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-5.6843418860808015E-14</v>
      </c>
      <c r="AJ64" s="13">
        <f>AI64*VLOOKUP('Données projet'!$B$10,Paramètres!$A$1:$I$89,3,0)*VLOOKUP('Données projet'!$B$10,Paramètres!$A$1:$I$89,5,0)</f>
        <v>-3.1036506698001178E-14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207.02306964567629</v>
      </c>
      <c r="AO64" s="59">
        <f t="shared" si="36"/>
        <v>342.06887933351783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10.658946673328971</v>
      </c>
      <c r="AV64" s="21">
        <f>EXP(-LN(2)/25)*AV63+(1-EXP(-LN(2)/25))/(LN(2)/25)*Calculateur!AQ64*Calculateur!AS64*VLOOKUP('Données projet'!$B$10,Paramètres!$A$1:$I$89,3,0)*0.475*44/12</f>
        <v>18.202284717356033</v>
      </c>
      <c r="AW64" s="21">
        <f>EXP(-LN(2)/2)*AW63+(1-EXP(-LN(2)/2))/(LN(2)/2)*AQ64*AT64*VLOOKUP('Données projet'!$B$10,Paramètres!$A$1:$I$89,3,0)*0.475*44/12</f>
        <v>2.4162354545027585E-4</v>
      </c>
      <c r="AX64" s="21">
        <f t="shared" si="6"/>
        <v>28.861473014230455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-1.1368683772161603E-13</v>
      </c>
      <c r="BE64" s="13">
        <f>BD64*VLOOKUP('Données projet'!$B$11,Paramètres!$A$1:$I$89,3,0)*VLOOKUP('Données projet'!$B$11,Paramètres!$A$1:$I$89,5,0)</f>
        <v>-5.3205440053716299E-14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345.45636360520137</v>
      </c>
      <c r="BJ64" s="59">
        <f t="shared" si="38"/>
        <v>469.30074822262549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7.2957300148208626</v>
      </c>
      <c r="BQ64" s="21">
        <f>EXP(-LN(2)/25)*BQ63+(1-EXP(-LN(2)/25))/(LN(2)/25)*Calculateur!BL64*Calculateur!BN64*VLOOKUP('Données projet'!$B$11,Paramètres!$A$1:$I$89,3,0)*0.475*44/12</f>
        <v>7.8075671620078024</v>
      </c>
      <c r="BR64" s="21">
        <f>EXP(-LN(2)/2)*BR63+(1-EXP(-LN(2)/2))/(LN(2)/2)*BL64*BO64*VLOOKUP('Données projet'!$B$11,Paramètres!$A$1:$I$89,3,0)*0.475*44/12</f>
        <v>1.6515098503019538E-4</v>
      </c>
      <c r="BS64" s="22">
        <f t="shared" si="9"/>
        <v>15.103462327813695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-3.4106051316484809E-13</v>
      </c>
      <c r="O65" s="13">
        <f>N65*VLOOKUP('Données projet'!$B$9,Paramètres!$A$1:$I$89,3,0)*VLOOKUP('Données projet'!$B$9,Paramètres!$A$1:$I$89,5,0)</f>
        <v>-1.9065282685915009E-13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534.78683721545372</v>
      </c>
      <c r="T65" s="59">
        <f t="shared" si="34"/>
        <v>710.59298755711075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3.9967934322849161</v>
      </c>
      <c r="AA65" s="21">
        <f>EXP(-LN(2)/25)*AA64+(1-EXP(-LN(2)/25))/(LN(2)/25)*Calculateur!V65*Calculateur!X65*VLOOKUP('Données projet'!$B$9,Paramètres!$A$1:$I$89,3,0)*0.475*44/12</f>
        <v>8.3908262198262875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12.387619652111203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-5.6843418860808015E-14</v>
      </c>
      <c r="AJ65" s="13">
        <f>AI65*VLOOKUP('Données projet'!$B$10,Paramètres!$A$1:$I$89,3,0)*VLOOKUP('Données projet'!$B$10,Paramètres!$A$1:$I$89,5,0)</f>
        <v>-3.1036506698001178E-14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207.02306964567629</v>
      </c>
      <c r="AO65" s="59">
        <f t="shared" si="36"/>
        <v>342.06887933351783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10.449931230380509</v>
      </c>
      <c r="AV65" s="21">
        <f>EXP(-LN(2)/25)*AV64+(1-EXP(-LN(2)/25))/(LN(2)/25)*Calculateur!AQ65*Calculateur!AS65*VLOOKUP('Données projet'!$B$10,Paramètres!$A$1:$I$89,3,0)*0.475*44/12</f>
        <v>17.704542284543379</v>
      </c>
      <c r="AW65" s="21">
        <f>EXP(-LN(2)/2)*AW64+(1-EXP(-LN(2)/2))/(LN(2)/2)*AQ65*AT65*VLOOKUP('Données projet'!$B$10,Paramètres!$A$1:$I$89,3,0)*0.475*44/12</f>
        <v>1.7085364748222604E-4</v>
      </c>
      <c r="AX65" s="21">
        <f t="shared" si="6"/>
        <v>28.154644368571368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-1.1368683772161603E-13</v>
      </c>
      <c r="BE65" s="13">
        <f>BD65*VLOOKUP('Données projet'!$B$11,Paramètres!$A$1:$I$89,3,0)*VLOOKUP('Données projet'!$B$11,Paramètres!$A$1:$I$89,5,0)</f>
        <v>-5.3205440053716299E-14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345.45636360520137</v>
      </c>
      <c r="BJ65" s="59">
        <f t="shared" si="38"/>
        <v>469.30074822262549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7.1526651991861376</v>
      </c>
      <c r="BQ65" s="21">
        <f>EXP(-LN(2)/25)*BQ64+(1-EXP(-LN(2)/25))/(LN(2)/25)*Calculateur!BL65*Calculateur!BN65*VLOOKUP('Données projet'!$B$11,Paramètres!$A$1:$I$89,3,0)*0.475*44/12</f>
        <v>7.5940688273805863</v>
      </c>
      <c r="BR65" s="21">
        <f>EXP(-LN(2)/2)*BR64+(1-EXP(-LN(2)/2))/(LN(2)/2)*BL65*BO65*VLOOKUP('Données projet'!$B$11,Paramètres!$A$1:$I$89,3,0)*0.475*44/12</f>
        <v>1.1677938143448915E-4</v>
      </c>
      <c r="BS65" s="22">
        <f t="shared" si="9"/>
        <v>14.746850805948158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-3.4106051316484809E-13</v>
      </c>
      <c r="O66" s="13">
        <f>N66*VLOOKUP('Données projet'!$B$9,Paramètres!$A$1:$I$89,3,0)*VLOOKUP('Données projet'!$B$9,Paramètres!$A$1:$I$89,5,0)</f>
        <v>-1.9065282685915009E-13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534.78683721545372</v>
      </c>
      <c r="T66" s="59">
        <f t="shared" si="34"/>
        <v>710.59298755711075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3.9184187508810897</v>
      </c>
      <c r="AA66" s="21">
        <f>EXP(-LN(2)/25)*AA65+(1-EXP(-LN(2)/25))/(LN(2)/25)*Calculateur!V66*Calculateur!X66*VLOOKUP('Données projet'!$B$9,Paramètres!$A$1:$I$89,3,0)*0.475*44/12</f>
        <v>8.1613786355907649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12.079797386471855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-5.6843418860808015E-14</v>
      </c>
      <c r="AJ66" s="13">
        <f>AI66*VLOOKUP('Données projet'!$B$10,Paramètres!$A$1:$I$89,3,0)*VLOOKUP('Données projet'!$B$10,Paramètres!$A$1:$I$89,5,0)</f>
        <v>-3.1036506698001178E-14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207.02306964567629</v>
      </c>
      <c r="AO66" s="59">
        <f t="shared" si="36"/>
        <v>342.06887933351783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10.245014452781435</v>
      </c>
      <c r="AV66" s="21">
        <f>EXP(-LN(2)/25)*AV65+(1-EXP(-LN(2)/25))/(LN(2)/25)*Calculateur!AQ66*Calculateur!AS66*VLOOKUP('Données projet'!$B$10,Paramètres!$A$1:$I$89,3,0)*0.475*44/12</f>
        <v>17.220410644731125</v>
      </c>
      <c r="AW66" s="21">
        <f>EXP(-LN(2)/2)*AW65+(1-EXP(-LN(2)/2))/(LN(2)/2)*AQ66*AT66*VLOOKUP('Données projet'!$B$10,Paramètres!$A$1:$I$89,3,0)*0.475*44/12</f>
        <v>1.2081177272513794E-4</v>
      </c>
      <c r="AX66" s="21">
        <f t="shared" si="6"/>
        <v>27.465545909285282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-1.1368683772161603E-13</v>
      </c>
      <c r="BE66" s="13">
        <f>BD66*VLOOKUP('Données projet'!$B$11,Paramètres!$A$1:$I$89,3,0)*VLOOKUP('Données projet'!$B$11,Paramètres!$A$1:$I$89,5,0)</f>
        <v>-5.3205440053716299E-14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345.45636360520137</v>
      </c>
      <c r="BJ66" s="59">
        <f t="shared" si="38"/>
        <v>469.30074822262549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7.0124057973250888</v>
      </c>
      <c r="BQ66" s="21">
        <f>EXP(-LN(2)/25)*BQ65+(1-EXP(-LN(2)/25))/(LN(2)/25)*Calculateur!BL66*Calculateur!BN66*VLOOKUP('Données projet'!$B$11,Paramètres!$A$1:$I$89,3,0)*0.475*44/12</f>
        <v>7.3864086159411411</v>
      </c>
      <c r="BR66" s="21">
        <f>EXP(-LN(2)/2)*BR65+(1-EXP(-LN(2)/2))/(LN(2)/2)*BL66*BO66*VLOOKUP('Données projet'!$B$11,Paramètres!$A$1:$I$89,3,0)*0.475*44/12</f>
        <v>8.257549251509769E-5</v>
      </c>
      <c r="BS66" s="22">
        <f t="shared" si="9"/>
        <v>14.398896988758745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-3.4106051316484809E-13</v>
      </c>
      <c r="O67" s="13">
        <f>N67*VLOOKUP('Données projet'!$B$9,Paramètres!$A$1:$I$89,3,0)*VLOOKUP('Données projet'!$B$9,Paramètres!$A$1:$I$89,5,0)</f>
        <v>-1.9065282685915009E-13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534.78683721545372</v>
      </c>
      <c r="T67" s="59">
        <f t="shared" si="34"/>
        <v>710.59298755711075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3.8415809491757567</v>
      </c>
      <c r="AA67" s="21">
        <f>EXP(-LN(2)/25)*AA66+(1-EXP(-LN(2)/25))/(LN(2)/25)*Calculateur!V67*Calculateur!X67*VLOOKUP('Données projet'!$B$9,Paramètres!$A$1:$I$89,3,0)*0.475*44/12</f>
        <v>7.9382053076122858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11.779786256788043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-5.6843418860808015E-14</v>
      </c>
      <c r="AJ67" s="13">
        <f>AI67*VLOOKUP('Données projet'!$B$10,Paramètres!$A$1:$I$89,3,0)*VLOOKUP('Données projet'!$B$10,Paramètres!$A$1:$I$89,5,0)</f>
        <v>-3.1036506698001178E-14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207.02306964567629</v>
      </c>
      <c r="AO67" s="59">
        <f t="shared" si="36"/>
        <v>342.06887933351783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10.044115968204185</v>
      </c>
      <c r="AV67" s="21">
        <f>EXP(-LN(2)/25)*AV66+(1-EXP(-LN(2)/25))/(LN(2)/25)*Calculateur!AQ67*Calculateur!AS67*VLOOKUP('Données projet'!$B$10,Paramètres!$A$1:$I$89,3,0)*0.475*44/12</f>
        <v>16.749517610068914</v>
      </c>
      <c r="AW67" s="21">
        <f>EXP(-LN(2)/2)*AW66+(1-EXP(-LN(2)/2))/(LN(2)/2)*AQ67*AT67*VLOOKUP('Données projet'!$B$10,Paramètres!$A$1:$I$89,3,0)*0.475*44/12</f>
        <v>8.5426823741113032E-5</v>
      </c>
      <c r="AX67" s="21">
        <f t="shared" si="6"/>
        <v>26.79371900509684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-1.1368683772161603E-13</v>
      </c>
      <c r="BE67" s="13">
        <f>BD67*VLOOKUP('Données projet'!$B$11,Paramètres!$A$1:$I$89,3,0)*VLOOKUP('Données projet'!$B$11,Paramètres!$A$1:$I$89,5,0)</f>
        <v>-5.3205440053716299E-14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345.45636360520137</v>
      </c>
      <c r="BJ67" s="59">
        <f t="shared" si="38"/>
        <v>469.30074822262549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6.8748967967847472</v>
      </c>
      <c r="BQ67" s="21">
        <f>EXP(-LN(2)/25)*BQ66+(1-EXP(-LN(2)/25))/(LN(2)/25)*Calculateur!BL67*Calculateur!BN67*VLOOKUP('Données projet'!$B$11,Paramètres!$A$1:$I$89,3,0)*0.475*44/12</f>
        <v>7.1844268839038836</v>
      </c>
      <c r="BR67" s="21">
        <f>EXP(-LN(2)/2)*BR66+(1-EXP(-LN(2)/2))/(LN(2)/2)*BL67*BO67*VLOOKUP('Données projet'!$B$11,Paramètres!$A$1:$I$89,3,0)*0.475*44/12</f>
        <v>5.8389690717244576E-5</v>
      </c>
      <c r="BS67" s="22">
        <f t="shared" si="9"/>
        <v>14.05938207037935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-3.4106051316484809E-13</v>
      </c>
      <c r="O68" s="13">
        <f>N68*VLOOKUP('Données projet'!$B$9,Paramètres!$A$1:$I$89,3,0)*VLOOKUP('Données projet'!$B$9,Paramètres!$A$1:$I$89,5,0)</f>
        <v>-1.9065282685915009E-13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534.78683721545372</v>
      </c>
      <c r="T68" s="59">
        <f t="shared" si="34"/>
        <v>710.59298755711075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3.766249889895434</v>
      </c>
      <c r="AA68" s="21">
        <f>EXP(-LN(2)/25)*AA67+(1-EXP(-LN(2)/25))/(LN(2)/25)*Calculateur!V68*Calculateur!X68*VLOOKUP('Données projet'!$B$9,Paramètres!$A$1:$I$89,3,0)*0.475*44/12</f>
        <v>7.7211346660235538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11.487384555918988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-5.6843418860808015E-14</v>
      </c>
      <c r="AJ68" s="13">
        <f>AI68*VLOOKUP('Données projet'!$B$10,Paramètres!$A$1:$I$89,3,0)*VLOOKUP('Données projet'!$B$10,Paramètres!$A$1:$I$89,5,0)</f>
        <v>-3.1036506698001178E-14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207.02306964567629</v>
      </c>
      <c r="AO68" s="59">
        <f t="shared" si="36"/>
        <v>342.06887933351783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9.8471569803735193</v>
      </c>
      <c r="AV68" s="21">
        <f>EXP(-LN(2)/25)*AV67+(1-EXP(-LN(2)/25))/(LN(2)/25)*Calculateur!AQ68*Calculateur!AS68*VLOOKUP('Données projet'!$B$10,Paramètres!$A$1:$I$89,3,0)*0.475*44/12</f>
        <v>16.291501170202729</v>
      </c>
      <c r="AW68" s="21">
        <f>EXP(-LN(2)/2)*AW67+(1-EXP(-LN(2)/2))/(LN(2)/2)*AQ68*AT68*VLOOKUP('Données projet'!$B$10,Paramètres!$A$1:$I$89,3,0)*0.475*44/12</f>
        <v>6.0405886362568982E-5</v>
      </c>
      <c r="AX68" s="21">
        <f t="shared" ref="AX68:AX131" si="60">SUM(AU68:AW68)</f>
        <v>26.13871855646261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-1.1368683772161603E-13</v>
      </c>
      <c r="BE68" s="13">
        <f>BD68*VLOOKUP('Données projet'!$B$11,Paramètres!$A$1:$I$89,3,0)*VLOOKUP('Données projet'!$B$11,Paramètres!$A$1:$I$89,5,0)</f>
        <v>-5.3205440053716299E-14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345.45636360520137</v>
      </c>
      <c r="BJ68" s="59">
        <f t="shared" si="38"/>
        <v>469.30074822262549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6.7400842638727934</v>
      </c>
      <c r="BQ68" s="21">
        <f>EXP(-LN(2)/25)*BQ67+(1-EXP(-LN(2)/25))/(LN(2)/25)*Calculateur!BL68*Calculateur!BN68*VLOOKUP('Données projet'!$B$11,Paramètres!$A$1:$I$89,3,0)*0.475*44/12</f>
        <v>6.9879683529509427</v>
      </c>
      <c r="BR68" s="21">
        <f>EXP(-LN(2)/2)*BR67+(1-EXP(-LN(2)/2))/(LN(2)/2)*BL68*BO68*VLOOKUP('Données projet'!$B$11,Paramètres!$A$1:$I$89,3,0)*0.475*44/12</f>
        <v>4.1287746257548845E-5</v>
      </c>
      <c r="BS68" s="22">
        <f t="shared" ref="BS68:BS131" si="63">SUM(BP68:BR68)</f>
        <v>13.728093904569993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-3.4106051316484809E-13</v>
      </c>
      <c r="O69" s="13">
        <f>N69*VLOOKUP('Données projet'!$B$9,Paramètres!$A$1:$I$89,3,0)*VLOOKUP('Données projet'!$B$9,Paramètres!$A$1:$I$89,5,0)</f>
        <v>-1.9065282685915009E-13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534.78683721545372</v>
      </c>
      <c r="T69" s="59">
        <f t="shared" ref="T69:T132" si="88">$T$3</f>
        <v>710.59298755711075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3.6923960267401892</v>
      </c>
      <c r="AA69" s="21">
        <f>EXP(-LN(2)/25)*AA68+(1-EXP(-LN(2)/25))/(LN(2)/25)*Calculateur!V69*Calculateur!X69*VLOOKUP('Données projet'!$B$9,Paramètres!$A$1:$I$89,3,0)*0.475*44/12</f>
        <v>7.5099998325443149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11.202395859284504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-5.6843418860808015E-14</v>
      </c>
      <c r="AJ69" s="13">
        <f>AI69*VLOOKUP('Données projet'!$B$10,Paramètres!$A$1:$I$89,3,0)*VLOOKUP('Données projet'!$B$10,Paramètres!$A$1:$I$89,5,0)</f>
        <v>-3.1036506698001178E-14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207.02306964567629</v>
      </c>
      <c r="AO69" s="59">
        <f t="shared" ref="AO69:AO132" si="90">$AO$3</f>
        <v>342.06887933351783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9.654060238161092</v>
      </c>
      <c r="AV69" s="21">
        <f>EXP(-LN(2)/25)*AV68+(1-EXP(-LN(2)/25))/(LN(2)/25)*Calculateur!AQ69*Calculateur!AS69*VLOOKUP('Données projet'!$B$10,Paramètres!$A$1:$I$89,3,0)*0.475*44/12</f>
        <v>15.846009213970722</v>
      </c>
      <c r="AW69" s="21">
        <f>EXP(-LN(2)/2)*AW68+(1-EXP(-LN(2)/2))/(LN(2)/2)*AQ69*AT69*VLOOKUP('Données projet'!$B$10,Paramètres!$A$1:$I$89,3,0)*0.475*44/12</f>
        <v>4.2713411870556523E-5</v>
      </c>
      <c r="AX69" s="21">
        <f t="shared" si="60"/>
        <v>25.500112165543683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-1.1368683772161603E-13</v>
      </c>
      <c r="BE69" s="13">
        <f>BD69*VLOOKUP('Données projet'!$B$11,Paramètres!$A$1:$I$89,3,0)*VLOOKUP('Données projet'!$B$11,Paramètres!$A$1:$I$89,5,0)</f>
        <v>-5.3205440053716299E-14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345.45636360520137</v>
      </c>
      <c r="BJ69" s="59">
        <f t="shared" ref="BJ69:BJ132" si="92">$BJ$3</f>
        <v>469.30074822262549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6.6079153225037164</v>
      </c>
      <c r="BQ69" s="21">
        <f>EXP(-LN(2)/25)*BQ68+(1-EXP(-LN(2)/25))/(LN(2)/25)*Calculateur!BL69*Calculateur!BN69*VLOOKUP('Données projet'!$B$11,Paramètres!$A$1:$I$89,3,0)*0.475*44/12</f>
        <v>6.796881990858215</v>
      </c>
      <c r="BR69" s="21">
        <f>EXP(-LN(2)/2)*BR68+(1-EXP(-LN(2)/2))/(LN(2)/2)*BL69*BO69*VLOOKUP('Données projet'!$B$11,Paramètres!$A$1:$I$89,3,0)*0.475*44/12</f>
        <v>2.9194845358622288E-5</v>
      </c>
      <c r="BS69" s="22">
        <f t="shared" si="63"/>
        <v>13.404826508207291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-3.4106051316484809E-13</v>
      </c>
      <c r="O70" s="13">
        <f>N70*VLOOKUP('Données projet'!$B$9,Paramètres!$A$1:$I$89,3,0)*VLOOKUP('Données projet'!$B$9,Paramètres!$A$1:$I$89,5,0)</f>
        <v>-1.9065282685915009E-13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534.78683721545372</v>
      </c>
      <c r="T70" s="59">
        <f t="shared" si="88"/>
        <v>710.59298755711075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3.6199903927950099</v>
      </c>
      <c r="AA70" s="21">
        <f>EXP(-LN(2)/25)*AA69+(1-EXP(-LN(2)/25))/(LN(2)/25)*Calculateur!V70*Calculateur!X70*VLOOKUP('Données projet'!$B$9,Paramètres!$A$1:$I$89,3,0)*0.475*44/12</f>
        <v>7.3046384921896639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10.924628884984674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-5.6843418860808015E-14</v>
      </c>
      <c r="AJ70" s="13">
        <f>AI70*VLOOKUP('Données projet'!$B$10,Paramètres!$A$1:$I$89,3,0)*VLOOKUP('Données projet'!$B$10,Paramètres!$A$1:$I$89,5,0)</f>
        <v>-3.1036506698001178E-14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207.02306964567629</v>
      </c>
      <c r="AO70" s="59">
        <f t="shared" si="90"/>
        <v>342.06887933351783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9.4647500052860671</v>
      </c>
      <c r="AV70" s="21">
        <f>EXP(-LN(2)/25)*AV69+(1-EXP(-LN(2)/25))/(LN(2)/25)*Calculateur!AQ70*Calculateur!AS70*VLOOKUP('Données projet'!$B$10,Paramètres!$A$1:$I$89,3,0)*0.475*44/12</f>
        <v>15.412699258709285</v>
      </c>
      <c r="AW70" s="21">
        <f>EXP(-LN(2)/2)*AW69+(1-EXP(-LN(2)/2))/(LN(2)/2)*AQ70*AT70*VLOOKUP('Données projet'!$B$10,Paramètres!$A$1:$I$89,3,0)*0.475*44/12</f>
        <v>3.0202943181284495E-5</v>
      </c>
      <c r="AX70" s="21">
        <f t="shared" si="60"/>
        <v>24.877479466938535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-1.1368683772161603E-13</v>
      </c>
      <c r="BE70" s="13">
        <f>BD70*VLOOKUP('Données projet'!$B$11,Paramètres!$A$1:$I$89,3,0)*VLOOKUP('Données projet'!$B$11,Paramètres!$A$1:$I$89,5,0)</f>
        <v>-5.3205440053716299E-14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345.45636360520137</v>
      </c>
      <c r="BJ70" s="59">
        <f t="shared" si="92"/>
        <v>469.30074822262549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6.4783381334597934</v>
      </c>
      <c r="BQ70" s="21">
        <f>EXP(-LN(2)/25)*BQ69+(1-EXP(-LN(2)/25))/(LN(2)/25)*Calculateur!BL70*Calculateur!BN70*VLOOKUP('Données projet'!$B$11,Paramètres!$A$1:$I$89,3,0)*0.475*44/12</f>
        <v>6.6110208953857077</v>
      </c>
      <c r="BR70" s="21">
        <f>EXP(-LN(2)/2)*BR69+(1-EXP(-LN(2)/2))/(LN(2)/2)*BL70*BO70*VLOOKUP('Données projet'!$B$11,Paramètres!$A$1:$I$89,3,0)*0.475*44/12</f>
        <v>2.0643873128774422E-5</v>
      </c>
      <c r="BS70" s="22">
        <f t="shared" si="63"/>
        <v>13.089379672718628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-3.4106051316484809E-13</v>
      </c>
      <c r="O71" s="13">
        <f>N71*VLOOKUP('Données projet'!$B$9,Paramètres!$A$1:$I$89,3,0)*VLOOKUP('Données projet'!$B$9,Paramètres!$A$1:$I$89,5,0)</f>
        <v>-1.9065282685915009E-13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534.78683721545372</v>
      </c>
      <c r="T71" s="59">
        <f t="shared" si="88"/>
        <v>710.59298755711075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3.5490045891684199</v>
      </c>
      <c r="AA71" s="21">
        <f>EXP(-LN(2)/25)*AA70+(1-EXP(-LN(2)/25))/(LN(2)/25)*Calculateur!V71*Calculateur!X71*VLOOKUP('Données projet'!$B$9,Paramètres!$A$1:$I$89,3,0)*0.475*44/12</f>
        <v>7.1048927684864944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10.653897357654914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-5.6843418860808015E-14</v>
      </c>
      <c r="AJ71" s="13">
        <f>AI71*VLOOKUP('Données projet'!$B$10,Paramètres!$A$1:$I$89,3,0)*VLOOKUP('Données projet'!$B$10,Paramètres!$A$1:$I$89,5,0)</f>
        <v>-3.1036506698001178E-14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207.02306964567629</v>
      </c>
      <c r="AO71" s="59">
        <f t="shared" si="90"/>
        <v>342.06887933351783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9.2791520306098807</v>
      </c>
      <c r="AV71" s="21">
        <f>EXP(-LN(2)/25)*AV70+(1-EXP(-LN(2)/25))/(LN(2)/25)*Calculateur!AQ71*Calculateur!AS71*VLOOKUP('Données projet'!$B$10,Paramètres!$A$1:$I$89,3,0)*0.475*44/12</f>
        <v>14.991238186961251</v>
      </c>
      <c r="AW71" s="21">
        <f>EXP(-LN(2)/2)*AW70+(1-EXP(-LN(2)/2))/(LN(2)/2)*AQ71*AT71*VLOOKUP('Données projet'!$B$10,Paramètres!$A$1:$I$89,3,0)*0.475*44/12</f>
        <v>2.1356705935278265E-5</v>
      </c>
      <c r="AX71" s="21">
        <f t="shared" si="60"/>
        <v>24.27041157427707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-1.1368683772161603E-13</v>
      </c>
      <c r="BE71" s="13">
        <f>BD71*VLOOKUP('Données projet'!$B$11,Paramètres!$A$1:$I$89,3,0)*VLOOKUP('Données projet'!$B$11,Paramètres!$A$1:$I$89,5,0)</f>
        <v>-5.3205440053716299E-14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345.45636360520137</v>
      </c>
      <c r="BJ71" s="59">
        <f t="shared" si="92"/>
        <v>469.30074822262549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6.3513018740587404</v>
      </c>
      <c r="BQ71" s="21">
        <f>EXP(-LN(2)/25)*BQ70+(1-EXP(-LN(2)/25))/(LN(2)/25)*Calculateur!BL71*Calculateur!BN71*VLOOKUP('Données projet'!$B$11,Paramètres!$A$1:$I$89,3,0)*0.475*44/12</f>
        <v>6.4302421813429067</v>
      </c>
      <c r="BR71" s="21">
        <f>EXP(-LN(2)/2)*BR70+(1-EXP(-LN(2)/2))/(LN(2)/2)*BL71*BO71*VLOOKUP('Données projet'!$B$11,Paramètres!$A$1:$I$89,3,0)*0.475*44/12</f>
        <v>1.4597422679311144E-5</v>
      </c>
      <c r="BS71" s="22">
        <f t="shared" si="63"/>
        <v>12.781558652824325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-3.4106051316484809E-13</v>
      </c>
      <c r="O72" s="13">
        <f>N72*VLOOKUP('Données projet'!$B$9,Paramètres!$A$1:$I$89,3,0)*VLOOKUP('Données projet'!$B$9,Paramètres!$A$1:$I$89,5,0)</f>
        <v>-1.9065282685915009E-13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534.78683721545372</v>
      </c>
      <c r="T72" s="59">
        <f t="shared" si="88"/>
        <v>710.59298755711075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3.4794107738538824</v>
      </c>
      <c r="AA72" s="21">
        <f>EXP(-LN(2)/25)*AA71+(1-EXP(-LN(2)/25))/(LN(2)/25)*Calculateur!V72*Calculateur!X72*VLOOKUP('Données projet'!$B$9,Paramètres!$A$1:$I$89,3,0)*0.475*44/12</f>
        <v>6.9106091021021587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10.390019875956041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-5.6843418860808015E-14</v>
      </c>
      <c r="AJ72" s="13">
        <f>AI72*VLOOKUP('Données projet'!$B$10,Paramètres!$A$1:$I$89,3,0)*VLOOKUP('Données projet'!$B$10,Paramètres!$A$1:$I$89,5,0)</f>
        <v>-3.1036506698001178E-14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207.02306964567629</v>
      </c>
      <c r="AO72" s="59">
        <f t="shared" si="90"/>
        <v>342.06887933351783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9.0971935190135085</v>
      </c>
      <c r="AV72" s="21">
        <f>EXP(-LN(2)/25)*AV71+(1-EXP(-LN(2)/25))/(LN(2)/25)*Calculateur!AQ72*Calculateur!AS72*VLOOKUP('Données projet'!$B$10,Paramètres!$A$1:$I$89,3,0)*0.475*44/12</f>
        <v>14.581301990383842</v>
      </c>
      <c r="AW72" s="21">
        <f>EXP(-LN(2)/2)*AW71+(1-EXP(-LN(2)/2))/(LN(2)/2)*AQ72*AT72*VLOOKUP('Données projet'!$B$10,Paramètres!$A$1:$I$89,3,0)*0.475*44/12</f>
        <v>1.5101471590642249E-5</v>
      </c>
      <c r="AX72" s="21">
        <f t="shared" si="60"/>
        <v>23.67851061086894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-1.1368683772161603E-13</v>
      </c>
      <c r="BE72" s="13">
        <f>BD72*VLOOKUP('Données projet'!$B$11,Paramètres!$A$1:$I$89,3,0)*VLOOKUP('Données projet'!$B$11,Paramètres!$A$1:$I$89,5,0)</f>
        <v>-5.3205440053716299E-14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345.45636360520137</v>
      </c>
      <c r="BJ72" s="59">
        <f t="shared" si="92"/>
        <v>469.30074822262549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6.2267567182200745</v>
      </c>
      <c r="BQ72" s="21">
        <f>EXP(-LN(2)/25)*BQ71+(1-EXP(-LN(2)/25))/(LN(2)/25)*Calculateur!BL72*Calculateur!BN72*VLOOKUP('Données projet'!$B$11,Paramètres!$A$1:$I$89,3,0)*0.475*44/12</f>
        <v>6.2544068707423452</v>
      </c>
      <c r="BR72" s="21">
        <f>EXP(-LN(2)/2)*BR71+(1-EXP(-LN(2)/2))/(LN(2)/2)*BL72*BO72*VLOOKUP('Données projet'!$B$11,Paramètres!$A$1:$I$89,3,0)*0.475*44/12</f>
        <v>1.0321936564387211E-5</v>
      </c>
      <c r="BS72" s="22">
        <f t="shared" si="63"/>
        <v>12.481173910898985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-3.4106051316484809E-13</v>
      </c>
      <c r="O73" s="13">
        <f>N73*VLOOKUP('Données projet'!$B$9,Paramètres!$A$1:$I$89,3,0)*VLOOKUP('Données projet'!$B$9,Paramètres!$A$1:$I$89,5,0)</f>
        <v>-1.9065282685915009E-13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534.78683721545372</v>
      </c>
      <c r="T73" s="59">
        <f t="shared" si="88"/>
        <v>710.59298755711075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3.4111816508096271</v>
      </c>
      <c r="AA73" s="21">
        <f>EXP(-LN(2)/25)*AA72+(1-EXP(-LN(2)/25))/(LN(2)/25)*Calculateur!V73*Calculateur!X73*VLOOKUP('Données projet'!$B$9,Paramètres!$A$1:$I$89,3,0)*0.475*44/12</f>
        <v>6.7216381327920374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10.132819783601665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-5.6843418860808015E-14</v>
      </c>
      <c r="AJ73" s="13">
        <f>AI73*VLOOKUP('Données projet'!$B$10,Paramètres!$A$1:$I$89,3,0)*VLOOKUP('Données projet'!$B$10,Paramètres!$A$1:$I$89,5,0)</f>
        <v>-3.1036506698001178E-14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207.02306964567629</v>
      </c>
      <c r="AO73" s="59">
        <f t="shared" si="90"/>
        <v>342.06887933351783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8.918803102845807</v>
      </c>
      <c r="AV73" s="21">
        <f>EXP(-LN(2)/25)*AV72+(1-EXP(-LN(2)/25))/(LN(2)/25)*Calculateur!AQ73*Calculateur!AS73*VLOOKUP('Données projet'!$B$10,Paramètres!$A$1:$I$89,3,0)*0.475*44/12</f>
        <v>14.18257552065945</v>
      </c>
      <c r="AW73" s="21">
        <f>EXP(-LN(2)/2)*AW72+(1-EXP(-LN(2)/2))/(LN(2)/2)*AQ73*AT73*VLOOKUP('Données projet'!$B$10,Paramètres!$A$1:$I$89,3,0)*0.475*44/12</f>
        <v>1.0678352967639134E-5</v>
      </c>
      <c r="AX73" s="21">
        <f t="shared" si="60"/>
        <v>23.101389301858223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-1.1368683772161603E-13</v>
      </c>
      <c r="BE73" s="13">
        <f>BD73*VLOOKUP('Données projet'!$B$11,Paramètres!$A$1:$I$89,3,0)*VLOOKUP('Données projet'!$B$11,Paramètres!$A$1:$I$89,5,0)</f>
        <v>-5.3205440053716299E-14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345.45636360520137</v>
      </c>
      <c r="BJ73" s="59">
        <f t="shared" si="92"/>
        <v>469.30074822262549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6.1046538169223608</v>
      </c>
      <c r="BQ73" s="21">
        <f>EXP(-LN(2)/25)*BQ72+(1-EXP(-LN(2)/25))/(LN(2)/25)*Calculateur!BL73*Calculateur!BN73*VLOOKUP('Données projet'!$B$11,Paramètres!$A$1:$I$89,3,0)*0.475*44/12</f>
        <v>6.0833797859569332</v>
      </c>
      <c r="BR73" s="21">
        <f>EXP(-LN(2)/2)*BR72+(1-EXP(-LN(2)/2))/(LN(2)/2)*BL73*BO73*VLOOKUP('Données projet'!$B$11,Paramètres!$A$1:$I$89,3,0)*0.475*44/12</f>
        <v>7.298711339655572E-6</v>
      </c>
      <c r="BS73" s="22">
        <f t="shared" si="63"/>
        <v>12.188040901590634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-3.4106051316484809E-13</v>
      </c>
      <c r="O74" s="13">
        <f>N74*VLOOKUP('Données projet'!$B$9,Paramètres!$A$1:$I$89,3,0)*VLOOKUP('Données projet'!$B$9,Paramètres!$A$1:$I$89,5,0)</f>
        <v>-1.9065282685915009E-13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534.78683721545372</v>
      </c>
      <c r="T74" s="59">
        <f t="shared" si="88"/>
        <v>710.59298755711075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3.3442904592526137</v>
      </c>
      <c r="AA74" s="21">
        <f>EXP(-LN(2)/25)*AA73+(1-EXP(-LN(2)/25))/(LN(2)/25)*Calculateur!V74*Calculateur!X74*VLOOKUP('Données projet'!$B$9,Paramètres!$A$1:$I$89,3,0)*0.475*44/12</f>
        <v>6.5378345845752524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9.8821250438278661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-5.6843418860808015E-14</v>
      </c>
      <c r="AJ74" s="13">
        <f>AI74*VLOOKUP('Données projet'!$B$10,Paramètres!$A$1:$I$89,3,0)*VLOOKUP('Données projet'!$B$10,Paramètres!$A$1:$I$89,5,0)</f>
        <v>-3.1036506698001178E-14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207.02306964567629</v>
      </c>
      <c r="AO74" s="59">
        <f t="shared" si="90"/>
        <v>342.06887933351783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8.7439108139317447</v>
      </c>
      <c r="AV74" s="21">
        <f>EXP(-LN(2)/25)*AV73+(1-EXP(-LN(2)/25))/(LN(2)/25)*Calculateur!AQ74*Calculateur!AS74*VLOOKUP('Données projet'!$B$10,Paramètres!$A$1:$I$89,3,0)*0.475*44/12</f>
        <v>13.794752247217785</v>
      </c>
      <c r="AW74" s="21">
        <f>EXP(-LN(2)/2)*AW73+(1-EXP(-LN(2)/2))/(LN(2)/2)*AQ74*AT74*VLOOKUP('Données projet'!$B$10,Paramètres!$A$1:$I$89,3,0)*0.475*44/12</f>
        <v>7.5507357953211262E-6</v>
      </c>
      <c r="AX74" s="21">
        <f t="shared" si="60"/>
        <v>22.538670611885323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-1.1368683772161603E-13</v>
      </c>
      <c r="BE74" s="13">
        <f>BD74*VLOOKUP('Données projet'!$B$11,Paramètres!$A$1:$I$89,3,0)*VLOOKUP('Données projet'!$B$11,Paramètres!$A$1:$I$89,5,0)</f>
        <v>-5.3205440053716299E-14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345.45636360520137</v>
      </c>
      <c r="BJ74" s="59">
        <f t="shared" si="92"/>
        <v>469.30074822262549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5.9849452790436795</v>
      </c>
      <c r="BQ74" s="21">
        <f>EXP(-LN(2)/25)*BQ73+(1-EXP(-LN(2)/25))/(LN(2)/25)*Calculateur!BL74*Calculateur!BN74*VLOOKUP('Données projet'!$B$11,Paramètres!$A$1:$I$89,3,0)*0.475*44/12</f>
        <v>5.9170294457989012</v>
      </c>
      <c r="BR74" s="21">
        <f>EXP(-LN(2)/2)*BR73+(1-EXP(-LN(2)/2))/(LN(2)/2)*BL74*BO74*VLOOKUP('Données projet'!$B$11,Paramètres!$A$1:$I$89,3,0)*0.475*44/12</f>
        <v>5.1609682821936056E-6</v>
      </c>
      <c r="BS74" s="22">
        <f t="shared" si="63"/>
        <v>11.901979885810864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-3.4106051316484809E-13</v>
      </c>
      <c r="O75" s="13">
        <f>N75*VLOOKUP('Données projet'!$B$9,Paramètres!$A$1:$I$89,3,0)*VLOOKUP('Données projet'!$B$9,Paramètres!$A$1:$I$89,5,0)</f>
        <v>-1.9065282685915009E-13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534.78683721545372</v>
      </c>
      <c r="T75" s="59">
        <f t="shared" si="88"/>
        <v>710.59298755711075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3.2787109631624349</v>
      </c>
      <c r="AA75" s="21">
        <f>EXP(-LN(2)/25)*AA74+(1-EXP(-LN(2)/25))/(LN(2)/25)*Calculateur!V75*Calculateur!X75*VLOOKUP('Données projet'!$B$9,Paramètres!$A$1:$I$89,3,0)*0.475*44/12</f>
        <v>6.3590571540502641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9.6377681172126994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-5.6843418860808015E-14</v>
      </c>
      <c r="AJ75" s="13">
        <f>AI75*VLOOKUP('Données projet'!$B$10,Paramètres!$A$1:$I$89,3,0)*VLOOKUP('Données projet'!$B$10,Paramètres!$A$1:$I$89,5,0)</f>
        <v>-3.1036506698001178E-14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207.02306964567629</v>
      </c>
      <c r="AO75" s="59">
        <f t="shared" si="90"/>
        <v>342.06887933351783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8.5724480561295238</v>
      </c>
      <c r="AV75" s="21">
        <f>EXP(-LN(2)/25)*AV74+(1-EXP(-LN(2)/25))/(LN(2)/25)*Calculateur!AQ75*Calculateur!AS75*VLOOKUP('Données projet'!$B$10,Paramètres!$A$1:$I$89,3,0)*0.475*44/12</f>
        <v>13.417534021583123</v>
      </c>
      <c r="AW75" s="21">
        <f>EXP(-LN(2)/2)*AW74+(1-EXP(-LN(2)/2))/(LN(2)/2)*AQ75*AT75*VLOOKUP('Données projet'!$B$10,Paramètres!$A$1:$I$89,3,0)*0.475*44/12</f>
        <v>5.3391764838195679E-6</v>
      </c>
      <c r="AX75" s="21">
        <f t="shared" si="60"/>
        <v>21.989987416889129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-1.1368683772161603E-13</v>
      </c>
      <c r="BE75" s="13">
        <f>BD75*VLOOKUP('Données projet'!$B$11,Paramètres!$A$1:$I$89,3,0)*VLOOKUP('Données projet'!$B$11,Paramètres!$A$1:$I$89,5,0)</f>
        <v>-5.3205440053716299E-14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345.45636360520137</v>
      </c>
      <c r="BJ75" s="59">
        <f t="shared" si="92"/>
        <v>469.30074822262549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5.8675841525778001</v>
      </c>
      <c r="BQ75" s="21">
        <f>EXP(-LN(2)/25)*BQ74+(1-EXP(-LN(2)/25))/(LN(2)/25)*Calculateur!BL75*Calculateur!BN75*VLOOKUP('Données projet'!$B$11,Paramètres!$A$1:$I$89,3,0)*0.475*44/12</f>
        <v>5.7552279644404756</v>
      </c>
      <c r="BR75" s="21">
        <f>EXP(-LN(2)/2)*BR74+(1-EXP(-LN(2)/2))/(LN(2)/2)*BL75*BO75*VLOOKUP('Données projet'!$B$11,Paramètres!$A$1:$I$89,3,0)*0.475*44/12</f>
        <v>3.649355669827786E-6</v>
      </c>
      <c r="BS75" s="22">
        <f t="shared" si="63"/>
        <v>11.622815766373945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-3.4106051316484809E-13</v>
      </c>
      <c r="O76" s="13">
        <f>N76*VLOOKUP('Données projet'!$B$9,Paramètres!$A$1:$I$89,3,0)*VLOOKUP('Données projet'!$B$9,Paramètres!$A$1:$I$89,5,0)</f>
        <v>-1.9065282685915009E-13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534.78683721545372</v>
      </c>
      <c r="T76" s="59">
        <f t="shared" si="88"/>
        <v>710.59298755711075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3.2144174409910415</v>
      </c>
      <c r="AA76" s="21">
        <f>EXP(-LN(2)/25)*AA75+(1-EXP(-LN(2)/25))/(LN(2)/25)*Calculateur!V76*Calculateur!X76*VLOOKUP('Données projet'!$B$9,Paramètres!$A$1:$I$89,3,0)*0.475*44/12</f>
        <v>6.1851684017644777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9.3995858427555188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-5.6843418860808015E-14</v>
      </c>
      <c r="AJ76" s="13">
        <f>AI76*VLOOKUP('Données projet'!$B$10,Paramètres!$A$1:$I$89,3,0)*VLOOKUP('Données projet'!$B$10,Paramètres!$A$1:$I$89,5,0)</f>
        <v>-3.1036506698001178E-14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207.02306964567629</v>
      </c>
      <c r="AO76" s="59">
        <f t="shared" si="90"/>
        <v>342.06887933351783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8.404347578425849</v>
      </c>
      <c r="AV76" s="21">
        <f>EXP(-LN(2)/25)*AV75+(1-EXP(-LN(2)/25))/(LN(2)/25)*Calculateur!AQ76*Calculateur!AS76*VLOOKUP('Données projet'!$B$10,Paramètres!$A$1:$I$89,3,0)*0.475*44/12</f>
        <v>13.050630848165484</v>
      </c>
      <c r="AW76" s="21">
        <f>EXP(-LN(2)/2)*AW75+(1-EXP(-LN(2)/2))/(LN(2)/2)*AQ76*AT76*VLOOKUP('Données projet'!$B$10,Paramètres!$A$1:$I$89,3,0)*0.475*44/12</f>
        <v>3.7753678976605635E-6</v>
      </c>
      <c r="AX76" s="21">
        <f t="shared" si="60"/>
        <v>21.454982201959229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-1.1368683772161603E-13</v>
      </c>
      <c r="BE76" s="13">
        <f>BD76*VLOOKUP('Données projet'!$B$11,Paramètres!$A$1:$I$89,3,0)*VLOOKUP('Données projet'!$B$11,Paramètres!$A$1:$I$89,5,0)</f>
        <v>-5.3205440053716299E-14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345.45636360520137</v>
      </c>
      <c r="BJ76" s="59">
        <f t="shared" si="92"/>
        <v>469.30074822262549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5.752524406218698</v>
      </c>
      <c r="BQ76" s="21">
        <f>EXP(-LN(2)/25)*BQ75+(1-EXP(-LN(2)/25))/(LN(2)/25)*Calculateur!BL76*Calculateur!BN76*VLOOKUP('Données projet'!$B$11,Paramètres!$A$1:$I$89,3,0)*0.475*44/12</f>
        <v>5.5978509530985656</v>
      </c>
      <c r="BR76" s="21">
        <f>EXP(-LN(2)/2)*BR75+(1-EXP(-LN(2)/2))/(LN(2)/2)*BL76*BO76*VLOOKUP('Données projet'!$B$11,Paramètres!$A$1:$I$89,3,0)*0.475*44/12</f>
        <v>2.5804841410968028E-6</v>
      </c>
      <c r="BS76" s="22">
        <f t="shared" si="63"/>
        <v>11.350377939801405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-3.4106051316484809E-13</v>
      </c>
      <c r="O77" s="13">
        <f>N77*VLOOKUP('Données projet'!$B$9,Paramètres!$A$1:$I$89,3,0)*VLOOKUP('Données projet'!$B$9,Paramètres!$A$1:$I$89,5,0)</f>
        <v>-1.9065282685915009E-13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534.78683721545372</v>
      </c>
      <c r="T77" s="59">
        <f t="shared" si="88"/>
        <v>710.59298755711075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3.1513846755742532</v>
      </c>
      <c r="AA77" s="21">
        <f>EXP(-LN(2)/25)*AA76+(1-EXP(-LN(2)/25))/(LN(2)/25)*Calculateur!V77*Calculateur!X77*VLOOKUP('Données projet'!$B$9,Paramètres!$A$1:$I$89,3,0)*0.475*44/12</f>
        <v>6.0160346465543579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9.1674193221286107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-5.6843418860808015E-14</v>
      </c>
      <c r="AJ77" s="13">
        <f>AI77*VLOOKUP('Données projet'!$B$10,Paramètres!$A$1:$I$89,3,0)*VLOOKUP('Données projet'!$B$10,Paramètres!$A$1:$I$89,5,0)</f>
        <v>-3.1036506698001178E-14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207.02306964567629</v>
      </c>
      <c r="AO77" s="59">
        <f t="shared" si="90"/>
        <v>342.06887933351783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8.2395434485587753</v>
      </c>
      <c r="AV77" s="21">
        <f>EXP(-LN(2)/25)*AV76+(1-EXP(-LN(2)/25))/(LN(2)/25)*Calculateur!AQ77*Calculateur!AS77*VLOOKUP('Données projet'!$B$10,Paramètres!$A$1:$I$89,3,0)*0.475*44/12</f>
        <v>12.693760661319551</v>
      </c>
      <c r="AW77" s="21">
        <f>EXP(-LN(2)/2)*AW76+(1-EXP(-LN(2)/2))/(LN(2)/2)*AQ77*AT77*VLOOKUP('Données projet'!$B$10,Paramètres!$A$1:$I$89,3,0)*0.475*44/12</f>
        <v>2.6695882419097844E-6</v>
      </c>
      <c r="AX77" s="21">
        <f t="shared" si="60"/>
        <v>20.933306779466569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-1.1368683772161603E-13</v>
      </c>
      <c r="BE77" s="13">
        <f>BD77*VLOOKUP('Données projet'!$B$11,Paramètres!$A$1:$I$89,3,0)*VLOOKUP('Données projet'!$B$11,Paramètres!$A$1:$I$89,5,0)</f>
        <v>-5.3205440053716299E-14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345.45636360520137</v>
      </c>
      <c r="BJ77" s="59">
        <f t="shared" si="92"/>
        <v>469.30074822262549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5.6397209113061821</v>
      </c>
      <c r="BQ77" s="21">
        <f>EXP(-LN(2)/25)*BQ76+(1-EXP(-LN(2)/25))/(LN(2)/25)*Calculateur!BL77*Calculateur!BN77*VLOOKUP('Données projet'!$B$11,Paramètres!$A$1:$I$89,3,0)*0.475*44/12</f>
        <v>5.4447774244078975</v>
      </c>
      <c r="BR77" s="21">
        <f>EXP(-LN(2)/2)*BR76+(1-EXP(-LN(2)/2))/(LN(2)/2)*BL77*BO77*VLOOKUP('Données projet'!$B$11,Paramètres!$A$1:$I$89,3,0)*0.475*44/12</f>
        <v>1.824677834913893E-6</v>
      </c>
      <c r="BS77" s="22">
        <f t="shared" si="63"/>
        <v>11.084500160391915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-3.4106051316484809E-13</v>
      </c>
      <c r="O78" s="13">
        <f>N78*VLOOKUP('Données projet'!$B$9,Paramètres!$A$1:$I$89,3,0)*VLOOKUP('Données projet'!$B$9,Paramètres!$A$1:$I$89,5,0)</f>
        <v>-1.9065282685915009E-13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534.78683721545372</v>
      </c>
      <c r="T78" s="59">
        <f t="shared" si="88"/>
        <v>710.59298755711075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3.0895879442410972</v>
      </c>
      <c r="AA78" s="21">
        <f>EXP(-LN(2)/25)*AA77+(1-EXP(-LN(2)/25))/(LN(2)/25)*Calculateur!V78*Calculateur!X78*VLOOKUP('Données projet'!$B$9,Paramètres!$A$1:$I$89,3,0)*0.475*44/12</f>
        <v>5.8515258627748166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8.9411138070159133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-5.6843418860808015E-14</v>
      </c>
      <c r="AJ78" s="13">
        <f>AI78*VLOOKUP('Données projet'!$B$10,Paramètres!$A$1:$I$89,3,0)*VLOOKUP('Données projet'!$B$10,Paramètres!$A$1:$I$89,5,0)</f>
        <v>-3.1036506698001178E-14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207.02306964567629</v>
      </c>
      <c r="AO78" s="59">
        <f t="shared" si="90"/>
        <v>342.06887933351783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8.0779710271578029</v>
      </c>
      <c r="AV78" s="21">
        <f>EXP(-LN(2)/25)*AV77+(1-EXP(-LN(2)/25))/(LN(2)/25)*Calculateur!AQ78*Calculateur!AS78*VLOOKUP('Données projet'!$B$10,Paramètres!$A$1:$I$89,3,0)*0.475*44/12</f>
        <v>12.346649108499907</v>
      </c>
      <c r="AW78" s="21">
        <f>EXP(-LN(2)/2)*AW77+(1-EXP(-LN(2)/2))/(LN(2)/2)*AQ78*AT78*VLOOKUP('Données projet'!$B$10,Paramètres!$A$1:$I$89,3,0)*0.475*44/12</f>
        <v>1.8876839488302822E-6</v>
      </c>
      <c r="AX78" s="21">
        <f t="shared" si="60"/>
        <v>20.424622023341662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-1.1368683772161603E-13</v>
      </c>
      <c r="BE78" s="13">
        <f>BD78*VLOOKUP('Données projet'!$B$11,Paramètres!$A$1:$I$89,3,0)*VLOOKUP('Données projet'!$B$11,Paramètres!$A$1:$I$89,5,0)</f>
        <v>-5.3205440053716299E-14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345.45636360520137</v>
      </c>
      <c r="BJ78" s="59">
        <f t="shared" si="92"/>
        <v>469.30074822262549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5.5291294241255633</v>
      </c>
      <c r="BQ78" s="21">
        <f>EXP(-LN(2)/25)*BQ77+(1-EXP(-LN(2)/25))/(LN(2)/25)*Calculateur!BL78*Calculateur!BN78*VLOOKUP('Données projet'!$B$11,Paramètres!$A$1:$I$89,3,0)*0.475*44/12</f>
        <v>5.295889699409063</v>
      </c>
      <c r="BR78" s="21">
        <f>EXP(-LN(2)/2)*BR77+(1-EXP(-LN(2)/2))/(LN(2)/2)*BL78*BO78*VLOOKUP('Données projet'!$B$11,Paramètres!$A$1:$I$89,3,0)*0.475*44/12</f>
        <v>1.2902420705484014E-6</v>
      </c>
      <c r="BS78" s="22">
        <f t="shared" si="63"/>
        <v>10.825020413776699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-3.4106051316484809E-13</v>
      </c>
      <c r="O79" s="13">
        <f>N79*VLOOKUP('Données projet'!$B$9,Paramètres!$A$1:$I$89,3,0)*VLOOKUP('Données projet'!$B$9,Paramètres!$A$1:$I$89,5,0)</f>
        <v>-1.9065282685915009E-13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534.78683721545372</v>
      </c>
      <c r="T79" s="59">
        <f t="shared" si="88"/>
        <v>710.59298755711075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3.0290030091170999</v>
      </c>
      <c r="AA79" s="21">
        <f>EXP(-LN(2)/25)*AA78+(1-EXP(-LN(2)/25))/(LN(2)/25)*Calculateur!V79*Calculateur!X79*VLOOKUP('Données projet'!$B$9,Paramètres!$A$1:$I$89,3,0)*0.475*44/12</f>
        <v>5.6915155803388675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8.7205185894559669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-5.6843418860808015E-14</v>
      </c>
      <c r="AJ79" s="13">
        <f>AI79*VLOOKUP('Données projet'!$B$10,Paramètres!$A$1:$I$89,3,0)*VLOOKUP('Données projet'!$B$10,Paramètres!$A$1:$I$89,5,0)</f>
        <v>-3.1036506698001178E-14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207.02306964567629</v>
      </c>
      <c r="AO79" s="59">
        <f t="shared" si="90"/>
        <v>342.06887933351783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7.9195669423910564</v>
      </c>
      <c r="AV79" s="21">
        <f>EXP(-LN(2)/25)*AV78+(1-EXP(-LN(2)/25))/(LN(2)/25)*Calculateur!AQ79*Calculateur!AS79*VLOOKUP('Données projet'!$B$10,Paramètres!$A$1:$I$89,3,0)*0.475*44/12</f>
        <v>12.009029339345918</v>
      </c>
      <c r="AW79" s="21">
        <f>EXP(-LN(2)/2)*AW78+(1-EXP(-LN(2)/2))/(LN(2)/2)*AQ79*AT79*VLOOKUP('Données projet'!$B$10,Paramètres!$A$1:$I$89,3,0)*0.475*44/12</f>
        <v>1.3347941209548924E-6</v>
      </c>
      <c r="AX79" s="21">
        <f t="shared" si="60"/>
        <v>19.928597616531096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-1.1368683772161603E-13</v>
      </c>
      <c r="BE79" s="13">
        <f>BD79*VLOOKUP('Données projet'!$B$11,Paramètres!$A$1:$I$89,3,0)*VLOOKUP('Données projet'!$B$11,Paramètres!$A$1:$I$89,5,0)</f>
        <v>-5.3205440053716299E-14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345.45636360520137</v>
      </c>
      <c r="BJ79" s="59">
        <f t="shared" si="92"/>
        <v>469.30074822262549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5.4207065685544089</v>
      </c>
      <c r="BQ79" s="21">
        <f>EXP(-LN(2)/25)*BQ78+(1-EXP(-LN(2)/25))/(LN(2)/25)*Calculateur!BL79*Calculateur!BN79*VLOOKUP('Données projet'!$B$11,Paramètres!$A$1:$I$89,3,0)*0.475*44/12</f>
        <v>5.1510733170799865</v>
      </c>
      <c r="BR79" s="21">
        <f>EXP(-LN(2)/2)*BR78+(1-EXP(-LN(2)/2))/(LN(2)/2)*BL79*BO79*VLOOKUP('Données projet'!$B$11,Paramètres!$A$1:$I$89,3,0)*0.475*44/12</f>
        <v>9.123389174569465E-7</v>
      </c>
      <c r="BS79" s="22">
        <f t="shared" si="63"/>
        <v>10.571780797973313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-3.4106051316484809E-13</v>
      </c>
      <c r="O80" s="13">
        <f>N80*VLOOKUP('Données projet'!$B$9,Paramètres!$A$1:$I$89,3,0)*VLOOKUP('Données projet'!$B$9,Paramètres!$A$1:$I$89,5,0)</f>
        <v>-1.9065282685915009E-13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534.78683721545372</v>
      </c>
      <c r="T80" s="59">
        <f t="shared" si="88"/>
        <v>710.59298755711075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2.9696061076177225</v>
      </c>
      <c r="AA80" s="21">
        <f>EXP(-LN(2)/25)*AA79+(1-EXP(-LN(2)/25))/(LN(2)/25)*Calculateur!V80*Calculateur!X80*VLOOKUP('Données projet'!$B$9,Paramètres!$A$1:$I$89,3,0)*0.475*44/12</f>
        <v>5.5358807874907052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8.5054868951084277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-5.6843418860808015E-14</v>
      </c>
      <c r="AJ80" s="13">
        <f>AI80*VLOOKUP('Données projet'!$B$10,Paramètres!$A$1:$I$89,3,0)*VLOOKUP('Données projet'!$B$10,Paramètres!$A$1:$I$89,5,0)</f>
        <v>-3.1036506698001178E-14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207.02306964567629</v>
      </c>
      <c r="AO80" s="59">
        <f t="shared" si="90"/>
        <v>342.06887933351783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7.7642690651096347</v>
      </c>
      <c r="AV80" s="21">
        <f>EXP(-LN(2)/25)*AV79+(1-EXP(-LN(2)/25))/(LN(2)/25)*Calculateur!AQ80*Calculateur!AS80*VLOOKUP('Données projet'!$B$10,Paramètres!$A$1:$I$89,3,0)*0.475*44/12</f>
        <v>11.680641800534099</v>
      </c>
      <c r="AW80" s="21">
        <f>EXP(-LN(2)/2)*AW79+(1-EXP(-LN(2)/2))/(LN(2)/2)*AQ80*AT80*VLOOKUP('Données projet'!$B$10,Paramètres!$A$1:$I$89,3,0)*0.475*44/12</f>
        <v>9.438419744151412E-7</v>
      </c>
      <c r="AX80" s="21">
        <f t="shared" si="60"/>
        <v>19.44491180948571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-1.1368683772161603E-13</v>
      </c>
      <c r="BE80" s="13">
        <f>BD80*VLOOKUP('Données projet'!$B$11,Paramètres!$A$1:$I$89,3,0)*VLOOKUP('Données projet'!$B$11,Paramètres!$A$1:$I$89,5,0)</f>
        <v>-5.3205440053716299E-14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345.45636360520137</v>
      </c>
      <c r="BJ80" s="59">
        <f t="shared" si="92"/>
        <v>469.30074822262549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5.314409819049593</v>
      </c>
      <c r="BQ80" s="21">
        <f>EXP(-LN(2)/25)*BQ79+(1-EXP(-LN(2)/25))/(LN(2)/25)*Calculateur!BL80*Calculateur!BN80*VLOOKUP('Données projet'!$B$11,Paramètres!$A$1:$I$89,3,0)*0.475*44/12</f>
        <v>5.0102169463412611</v>
      </c>
      <c r="BR80" s="21">
        <f>EXP(-LN(2)/2)*BR79+(1-EXP(-LN(2)/2))/(LN(2)/2)*BL80*BO80*VLOOKUP('Données projet'!$B$11,Paramètres!$A$1:$I$89,3,0)*0.475*44/12</f>
        <v>6.451210352742007E-7</v>
      </c>
      <c r="BS80" s="22">
        <f t="shared" si="63"/>
        <v>10.324627410511889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-3.4106051316484809E-13</v>
      </c>
      <c r="O81" s="13">
        <f>N81*VLOOKUP('Données projet'!$B$9,Paramètres!$A$1:$I$89,3,0)*VLOOKUP('Données projet'!$B$9,Paramètres!$A$1:$I$89,5,0)</f>
        <v>-1.9065282685915009E-13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534.78683721545372</v>
      </c>
      <c r="T81" s="59">
        <f t="shared" si="88"/>
        <v>710.59298755711075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2.9113739431282153</v>
      </c>
      <c r="AA81" s="21">
        <f>EXP(-LN(2)/25)*AA80+(1-EXP(-LN(2)/25))/(LN(2)/25)*Calculateur!V81*Calculateur!X81*VLOOKUP('Données projet'!$B$9,Paramètres!$A$1:$I$89,3,0)*0.475*44/12</f>
        <v>5.3845018362374537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8.2958757793656694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-5.6843418860808015E-14</v>
      </c>
      <c r="AJ81" s="13">
        <f>AI81*VLOOKUP('Données projet'!$B$10,Paramètres!$A$1:$I$89,3,0)*VLOOKUP('Données projet'!$B$10,Paramètres!$A$1:$I$89,5,0)</f>
        <v>-3.1036506698001178E-14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207.02306964567629</v>
      </c>
      <c r="AO81" s="59">
        <f t="shared" si="90"/>
        <v>342.06887933351783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7.6120164844793496</v>
      </c>
      <c r="AV81" s="21">
        <f>EXP(-LN(2)/25)*AV80+(1-EXP(-LN(2)/25))/(LN(2)/25)*Calculateur!AQ81*Calculateur!AS81*VLOOKUP('Données projet'!$B$10,Paramètres!$A$1:$I$89,3,0)*0.475*44/12</f>
        <v>11.361234036240239</v>
      </c>
      <c r="AW81" s="21">
        <f>EXP(-LN(2)/2)*AW80+(1-EXP(-LN(2)/2))/(LN(2)/2)*AQ81*AT81*VLOOKUP('Données projet'!$B$10,Paramètres!$A$1:$I$89,3,0)*0.475*44/12</f>
        <v>6.673970604774463E-7</v>
      </c>
      <c r="AX81" s="21">
        <f t="shared" si="60"/>
        <v>18.973251188116649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-1.1368683772161603E-13</v>
      </c>
      <c r="BE81" s="13">
        <f>BD81*VLOOKUP('Données projet'!$B$11,Paramètres!$A$1:$I$89,3,0)*VLOOKUP('Données projet'!$B$11,Paramètres!$A$1:$I$89,5,0)</f>
        <v>-5.3205440053716299E-14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345.45636360520137</v>
      </c>
      <c r="BJ81" s="59">
        <f t="shared" si="92"/>
        <v>469.30074822262549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5.2101974839679519</v>
      </c>
      <c r="BQ81" s="21">
        <f>EXP(-LN(2)/25)*BQ80+(1-EXP(-LN(2)/25))/(LN(2)/25)*Calculateur!BL81*Calculateur!BN81*VLOOKUP('Données projet'!$B$11,Paramètres!$A$1:$I$89,3,0)*0.475*44/12</f>
        <v>4.873212300467701</v>
      </c>
      <c r="BR81" s="21">
        <f>EXP(-LN(2)/2)*BR80+(1-EXP(-LN(2)/2))/(LN(2)/2)*BL81*BO81*VLOOKUP('Données projet'!$B$11,Paramètres!$A$1:$I$89,3,0)*0.475*44/12</f>
        <v>4.5616945872847325E-7</v>
      </c>
      <c r="BS81" s="22">
        <f t="shared" si="63"/>
        <v>10.083410240605112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-3.4106051316484809E-13</v>
      </c>
      <c r="O82" s="13">
        <f>N82*VLOOKUP('Données projet'!$B$9,Paramètres!$A$1:$I$89,3,0)*VLOOKUP('Données projet'!$B$9,Paramètres!$A$1:$I$89,5,0)</f>
        <v>-1.9065282685915009E-13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534.78683721545372</v>
      </c>
      <c r="T82" s="59">
        <f t="shared" si="88"/>
        <v>710.59298755711075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2.8542836758662342</v>
      </c>
      <c r="AA82" s="21">
        <f>EXP(-LN(2)/25)*AA81+(1-EXP(-LN(2)/25))/(LN(2)/25)*Calculateur!V82*Calculateur!X82*VLOOKUP('Données projet'!$B$9,Paramètres!$A$1:$I$89,3,0)*0.475*44/12</f>
        <v>5.2372623503668958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8.0915460262331305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-5.6843418860808015E-14</v>
      </c>
      <c r="AJ82" s="13">
        <f>AI82*VLOOKUP('Données projet'!$B$10,Paramètres!$A$1:$I$89,3,0)*VLOOKUP('Données projet'!$B$10,Paramètres!$A$1:$I$89,5,0)</f>
        <v>-3.1036506698001178E-14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207.02306964567629</v>
      </c>
      <c r="AO82" s="59">
        <f t="shared" si="90"/>
        <v>342.06887933351783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7.4627494840903195</v>
      </c>
      <c r="AV82" s="21">
        <f>EXP(-LN(2)/25)*AV81+(1-EXP(-LN(2)/25))/(LN(2)/25)*Calculateur!AQ82*Calculateur!AS82*VLOOKUP('Données projet'!$B$10,Paramètres!$A$1:$I$89,3,0)*0.475*44/12</f>
        <v>11.050560494057917</v>
      </c>
      <c r="AW82" s="21">
        <f>EXP(-LN(2)/2)*AW81+(1-EXP(-LN(2)/2))/(LN(2)/2)*AQ82*AT82*VLOOKUP('Données projet'!$B$10,Paramètres!$A$1:$I$89,3,0)*0.475*44/12</f>
        <v>4.719209872075707E-7</v>
      </c>
      <c r="AX82" s="21">
        <f t="shared" si="60"/>
        <v>18.513310450069223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-1.1368683772161603E-13</v>
      </c>
      <c r="BE82" s="13">
        <f>BD82*VLOOKUP('Données projet'!$B$11,Paramètres!$A$1:$I$89,3,0)*VLOOKUP('Données projet'!$B$11,Paramètres!$A$1:$I$89,5,0)</f>
        <v>-5.3205440053716299E-14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345.45636360520137</v>
      </c>
      <c r="BJ82" s="59">
        <f t="shared" si="92"/>
        <v>469.30074822262549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5.108028689214013</v>
      </c>
      <c r="BQ82" s="21">
        <f>EXP(-LN(2)/25)*BQ81+(1-EXP(-LN(2)/25))/(LN(2)/25)*Calculateur!BL82*Calculateur!BN82*VLOOKUP('Données projet'!$B$11,Paramètres!$A$1:$I$89,3,0)*0.475*44/12</f>
        <v>4.7399540538403144</v>
      </c>
      <c r="BR82" s="21">
        <f>EXP(-LN(2)/2)*BR81+(1-EXP(-LN(2)/2))/(LN(2)/2)*BL82*BO82*VLOOKUP('Données projet'!$B$11,Paramètres!$A$1:$I$89,3,0)*0.475*44/12</f>
        <v>3.2256051763710035E-7</v>
      </c>
      <c r="BS82" s="22">
        <f t="shared" si="63"/>
        <v>9.8479830656148444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-3.4106051316484809E-13</v>
      </c>
      <c r="O83" s="13">
        <f>N83*VLOOKUP('Données projet'!$B$9,Paramètres!$A$1:$I$89,3,0)*VLOOKUP('Données projet'!$B$9,Paramètres!$A$1:$I$89,5,0)</f>
        <v>-1.9065282685915009E-13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534.78683721545372</v>
      </c>
      <c r="T83" s="59">
        <f t="shared" si="88"/>
        <v>710.59298755711075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2.798312913923636</v>
      </c>
      <c r="AA83" s="21">
        <f>EXP(-LN(2)/25)*AA82+(1-EXP(-LN(2)/25))/(LN(2)/25)*Calculateur!V83*Calculateur!X83*VLOOKUP('Données projet'!$B$9,Paramètres!$A$1:$I$89,3,0)*0.475*44/12</f>
        <v>5.0940491359804563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7.8923620499040918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-5.6843418860808015E-14</v>
      </c>
      <c r="AJ83" s="13">
        <f>AI83*VLOOKUP('Données projet'!$B$10,Paramètres!$A$1:$I$89,3,0)*VLOOKUP('Données projet'!$B$10,Paramètres!$A$1:$I$89,5,0)</f>
        <v>-3.1036506698001178E-14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207.02306964567629</v>
      </c>
      <c r="AO83" s="59">
        <f t="shared" si="90"/>
        <v>342.06887933351783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7.3164095185350382</v>
      </c>
      <c r="AV83" s="21">
        <f>EXP(-LN(2)/25)*AV82+(1-EXP(-LN(2)/25))/(LN(2)/25)*Calculateur!AQ83*Calculateur!AS83*VLOOKUP('Données projet'!$B$10,Paramètres!$A$1:$I$89,3,0)*0.475*44/12</f>
        <v>10.748382336224184</v>
      </c>
      <c r="AW83" s="21">
        <f>EXP(-LN(2)/2)*AW82+(1-EXP(-LN(2)/2))/(LN(2)/2)*AQ83*AT83*VLOOKUP('Données projet'!$B$10,Paramètres!$A$1:$I$89,3,0)*0.475*44/12</f>
        <v>3.336985302387232E-7</v>
      </c>
      <c r="AX83" s="21">
        <f t="shared" si="60"/>
        <v>18.064792188457751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-1.1368683772161603E-13</v>
      </c>
      <c r="BE83" s="13">
        <f>BD83*VLOOKUP('Données projet'!$B$11,Paramètres!$A$1:$I$89,3,0)*VLOOKUP('Données projet'!$B$11,Paramètres!$A$1:$I$89,5,0)</f>
        <v>-5.3205440053716299E-14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345.45636360520137</v>
      </c>
      <c r="BJ83" s="59">
        <f t="shared" si="92"/>
        <v>469.30074822262549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5.0078633622083872</v>
      </c>
      <c r="BQ83" s="21">
        <f>EXP(-LN(2)/25)*BQ82+(1-EXP(-LN(2)/25))/(LN(2)/25)*Calculateur!BL83*Calculateur!BN83*VLOOKUP('Données projet'!$B$11,Paramètres!$A$1:$I$89,3,0)*0.475*44/12</f>
        <v>4.6103397609747008</v>
      </c>
      <c r="BR83" s="21">
        <f>EXP(-LN(2)/2)*BR82+(1-EXP(-LN(2)/2))/(LN(2)/2)*BL83*BO83*VLOOKUP('Données projet'!$B$11,Paramètres!$A$1:$I$89,3,0)*0.475*44/12</f>
        <v>2.2808472936423662E-7</v>
      </c>
      <c r="BS83" s="22">
        <f t="shared" si="63"/>
        <v>9.6182033512678178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-3.4106051316484809E-13</v>
      </c>
      <c r="O84" s="13">
        <f>N84*VLOOKUP('Données projet'!$B$9,Paramètres!$A$1:$I$89,3,0)*VLOOKUP('Données projet'!$B$9,Paramètres!$A$1:$I$89,5,0)</f>
        <v>-1.9065282685915009E-13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534.78683721545372</v>
      </c>
      <c r="T84" s="59">
        <f t="shared" si="88"/>
        <v>710.59298755711075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2.7434397044839383</v>
      </c>
      <c r="AA84" s="21">
        <f>EXP(-LN(2)/25)*AA83+(1-EXP(-LN(2)/25))/(LN(2)/25)*Calculateur!V84*Calculateur!X84*VLOOKUP('Données projet'!$B$9,Paramètres!$A$1:$I$89,3,0)*0.475*44/12</f>
        <v>4.9547520944726688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7.6981917989566071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-5.6843418860808015E-14</v>
      </c>
      <c r="AJ84" s="13">
        <f>AI84*VLOOKUP('Données projet'!$B$10,Paramètres!$A$1:$I$89,3,0)*VLOOKUP('Données projet'!$B$10,Paramètres!$A$1:$I$89,5,0)</f>
        <v>-3.1036506698001178E-14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207.02306964567629</v>
      </c>
      <c r="AO84" s="59">
        <f t="shared" si="90"/>
        <v>342.06887933351783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7.1729391904457307</v>
      </c>
      <c r="AV84" s="21">
        <f>EXP(-LN(2)/25)*AV83+(1-EXP(-LN(2)/25))/(LN(2)/25)*Calculateur!AQ84*Calculateur!AS84*VLOOKUP('Données projet'!$B$10,Paramètres!$A$1:$I$89,3,0)*0.475*44/12</f>
        <v>10.454467256007272</v>
      </c>
      <c r="AW84" s="21">
        <f>EXP(-LN(2)/2)*AW83+(1-EXP(-LN(2)/2))/(LN(2)/2)*AQ84*AT84*VLOOKUP('Données projet'!$B$10,Paramètres!$A$1:$I$89,3,0)*0.475*44/12</f>
        <v>2.3596049360378538E-7</v>
      </c>
      <c r="AX84" s="21">
        <f t="shared" si="60"/>
        <v>17.627406682413493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-5.3205440053716299E-14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345.45636360520137</v>
      </c>
      <c r="BJ84" s="59">
        <f t="shared" si="92"/>
        <v>469.30074822262549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4.909662216170525</v>
      </c>
      <c r="BQ84" s="21">
        <f>EXP(-LN(2)/25)*BQ83+(1-EXP(-LN(2)/25))/(LN(2)/25)*Calculateur!BL84*Calculateur!BN84*VLOOKUP('Données projet'!$B$11,Paramètres!$A$1:$I$89,3,0)*0.475*44/12</f>
        <v>4.4842697777636165</v>
      </c>
      <c r="BR84" s="21">
        <f>EXP(-LN(2)/2)*BR83+(1-EXP(-LN(2)/2))/(LN(2)/2)*BL84*BO84*VLOOKUP('Données projet'!$B$11,Paramètres!$A$1:$I$89,3,0)*0.475*44/12</f>
        <v>1.6128025881855018E-7</v>
      </c>
      <c r="BS84" s="22">
        <f t="shared" si="63"/>
        <v>9.3939321552144008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-3.4106051316484809E-13</v>
      </c>
      <c r="O85" s="13">
        <f>N85*VLOOKUP('Données projet'!$B$9,Paramètres!$A$1:$I$89,3,0)*VLOOKUP('Données projet'!$B$9,Paramètres!$A$1:$I$89,5,0)</f>
        <v>-1.9065282685915009E-13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534.78683721545372</v>
      </c>
      <c r="T85" s="59">
        <f t="shared" si="88"/>
        <v>710.59298755711075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2.6896425252120002</v>
      </c>
      <c r="AA85" s="21">
        <f>EXP(-LN(2)/25)*AA84+(1-EXP(-LN(2)/25))/(LN(2)/25)*Calculateur!V85*Calculateur!X85*VLOOKUP('Données projet'!$B$9,Paramètres!$A$1:$I$89,3,0)*0.475*44/12</f>
        <v>4.819264137890225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7.5089066631022252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-5.6843418860808015E-14</v>
      </c>
      <c r="AJ85" s="13">
        <f>AI85*VLOOKUP('Données projet'!$B$10,Paramètres!$A$1:$I$89,3,0)*VLOOKUP('Données projet'!$B$10,Paramètres!$A$1:$I$89,5,0)</f>
        <v>-3.1036506698001178E-14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207.02306964567629</v>
      </c>
      <c r="AO85" s="59">
        <f t="shared" si="90"/>
        <v>342.06887933351783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7.0322822279819945</v>
      </c>
      <c r="AV85" s="21">
        <f>EXP(-LN(2)/25)*AV84+(1-EXP(-LN(2)/25))/(LN(2)/25)*Calculateur!AQ85*Calculateur!AS85*VLOOKUP('Données projet'!$B$10,Paramètres!$A$1:$I$89,3,0)*0.475*44/12</f>
        <v>10.168589299115213</v>
      </c>
      <c r="AW85" s="21">
        <f>EXP(-LN(2)/2)*AW84+(1-EXP(-LN(2)/2))/(LN(2)/2)*AQ85*AT85*VLOOKUP('Données projet'!$B$10,Paramètres!$A$1:$I$89,3,0)*0.475*44/12</f>
        <v>1.6684926511936163E-7</v>
      </c>
      <c r="AX85" s="21">
        <f t="shared" si="60"/>
        <v>17.200871693946471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-5.3205440053716299E-14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345.45636360520137</v>
      </c>
      <c r="BJ85" s="59">
        <f t="shared" si="92"/>
        <v>469.30074822262549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4.813386734709681</v>
      </c>
      <c r="BQ85" s="21">
        <f>EXP(-LN(2)/25)*BQ84+(1-EXP(-LN(2)/25))/(LN(2)/25)*Calculateur!BL85*Calculateur!BN85*VLOOKUP('Données projet'!$B$11,Paramètres!$A$1:$I$89,3,0)*0.475*44/12</f>
        <v>4.3616471848731715</v>
      </c>
      <c r="BR85" s="21">
        <f>EXP(-LN(2)/2)*BR84+(1-EXP(-LN(2)/2))/(LN(2)/2)*BL85*BO85*VLOOKUP('Données projet'!$B$11,Paramètres!$A$1:$I$89,3,0)*0.475*44/12</f>
        <v>1.1404236468211831E-7</v>
      </c>
      <c r="BS85" s="22">
        <f t="shared" si="63"/>
        <v>9.1750340336252165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-3.4106051316484809E-13</v>
      </c>
      <c r="O86" s="13">
        <f>N86*VLOOKUP('Données projet'!$B$9,Paramètres!$A$1:$I$89,3,0)*VLOOKUP('Données projet'!$B$9,Paramètres!$A$1:$I$89,5,0)</f>
        <v>-1.9065282685915009E-13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534.78683721545372</v>
      </c>
      <c r="T86" s="59">
        <f t="shared" si="88"/>
        <v>710.59298755711075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2.6369002758125455</v>
      </c>
      <c r="AA86" s="21">
        <f>EXP(-LN(2)/25)*AA85+(1-EXP(-LN(2)/25))/(LN(2)/25)*Calculateur!V86*Calculateur!X86*VLOOKUP('Données projet'!$B$9,Paramètres!$A$1:$I$89,3,0)*0.475*44/12</f>
        <v>4.6874811066055306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7.3243813824180766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-5.6843418860808015E-14</v>
      </c>
      <c r="AJ86" s="13">
        <f>AI86*VLOOKUP('Données projet'!$B$10,Paramètres!$A$1:$I$89,3,0)*VLOOKUP('Données projet'!$B$10,Paramètres!$A$1:$I$89,5,0)</f>
        <v>-3.1036506698001178E-14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207.02306964567629</v>
      </c>
      <c r="AO86" s="59">
        <f t="shared" si="90"/>
        <v>342.06887933351783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6.8943834627598966</v>
      </c>
      <c r="AV86" s="21">
        <f>EXP(-LN(2)/25)*AV85+(1-EXP(-LN(2)/25))/(LN(2)/25)*Calculateur!AQ86*Calculateur!AS86*VLOOKUP('Données projet'!$B$10,Paramètres!$A$1:$I$89,3,0)*0.475*44/12</f>
        <v>9.890528689988038</v>
      </c>
      <c r="AW86" s="21">
        <f>EXP(-LN(2)/2)*AW85+(1-EXP(-LN(2)/2))/(LN(2)/2)*AQ86*AT86*VLOOKUP('Données projet'!$B$10,Paramètres!$A$1:$I$89,3,0)*0.475*44/12</f>
        <v>1.179802468018927E-7</v>
      </c>
      <c r="AX86" s="21">
        <f t="shared" si="60"/>
        <v>16.784912270728181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-5.3205440053716299E-14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345.45636360520137</v>
      </c>
      <c r="BJ86" s="59">
        <f t="shared" si="92"/>
        <v>469.30074822262549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4.7189991567180387</v>
      </c>
      <c r="BQ86" s="21">
        <f>EXP(-LN(2)/25)*BQ85+(1-EXP(-LN(2)/25))/(LN(2)/25)*Calculateur!BL86*Calculateur!BN86*VLOOKUP('Données projet'!$B$11,Paramètres!$A$1:$I$89,3,0)*0.475*44/12</f>
        <v>4.2423777132337577</v>
      </c>
      <c r="BR86" s="21">
        <f>EXP(-LN(2)/2)*BR85+(1-EXP(-LN(2)/2))/(LN(2)/2)*BL86*BO86*VLOOKUP('Données projet'!$B$11,Paramètres!$A$1:$I$89,3,0)*0.475*44/12</f>
        <v>8.0640129409275088E-8</v>
      </c>
      <c r="BS86" s="22">
        <f t="shared" si="63"/>
        <v>8.9613769505919247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-3.4106051316484809E-13</v>
      </c>
      <c r="O87" s="13">
        <f>N87*VLOOKUP('Données projet'!$B$9,Paramètres!$A$1:$I$89,3,0)*VLOOKUP('Données projet'!$B$9,Paramètres!$A$1:$I$89,5,0)</f>
        <v>-1.9065282685915009E-13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534.78683721545372</v>
      </c>
      <c r="T87" s="59">
        <f t="shared" si="88"/>
        <v>710.59298755711075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2.5851922697542182</v>
      </c>
      <c r="AA87" s="21">
        <f>EXP(-LN(2)/25)*AA86+(1-EXP(-LN(2)/25))/(LN(2)/25)*Calculateur!V87*Calculateur!X87*VLOOKUP('Données projet'!$B$9,Paramètres!$A$1:$I$89,3,0)*0.475*44/12</f>
        <v>4.5593016892414848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7.1444939589957031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-5.6843418860808015E-14</v>
      </c>
      <c r="AJ87" s="13">
        <f>AI87*VLOOKUP('Données projet'!$B$10,Paramètres!$A$1:$I$89,3,0)*VLOOKUP('Données projet'!$B$10,Paramètres!$A$1:$I$89,5,0)</f>
        <v>-3.1036506698001178E-14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207.02306964567629</v>
      </c>
      <c r="AO87" s="59">
        <f t="shared" si="90"/>
        <v>342.06887933351783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6.759188808213862</v>
      </c>
      <c r="AV87" s="21">
        <f>EXP(-LN(2)/25)*AV86+(1-EXP(-LN(2)/25))/(LN(2)/25)*Calculateur!AQ87*Calculateur!AS87*VLOOKUP('Données projet'!$B$10,Paramètres!$A$1:$I$89,3,0)*0.475*44/12</f>
        <v>9.6200716628400169</v>
      </c>
      <c r="AW87" s="21">
        <f>EXP(-LN(2)/2)*AW86+(1-EXP(-LN(2)/2))/(LN(2)/2)*AQ87*AT87*VLOOKUP('Données projet'!$B$10,Paramètres!$A$1:$I$89,3,0)*0.475*44/12</f>
        <v>8.3424632559680828E-8</v>
      </c>
      <c r="AX87" s="21">
        <f t="shared" si="60"/>
        <v>16.379260554478513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-5.3205440053716299E-14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345.45636360520137</v>
      </c>
      <c r="BJ87" s="59">
        <f t="shared" si="92"/>
        <v>469.30074822262549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4.6264624615600747</v>
      </c>
      <c r="BQ87" s="21">
        <f>EXP(-LN(2)/25)*BQ86+(1-EXP(-LN(2)/25))/(LN(2)/25)*Calculateur!BL87*Calculateur!BN87*VLOOKUP('Données projet'!$B$11,Paramètres!$A$1:$I$89,3,0)*0.475*44/12</f>
        <v>4.1263696715684324</v>
      </c>
      <c r="BR87" s="21">
        <f>EXP(-LN(2)/2)*BR86+(1-EXP(-LN(2)/2))/(LN(2)/2)*BL87*BO87*VLOOKUP('Données projet'!$B$11,Paramètres!$A$1:$I$89,3,0)*0.475*44/12</f>
        <v>5.7021182341059156E-8</v>
      </c>
      <c r="BS87" s="22">
        <f t="shared" si="63"/>
        <v>8.7528321901496895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-3.4106051316484809E-13</v>
      </c>
      <c r="O88" s="13">
        <f>N88*VLOOKUP('Données projet'!$B$9,Paramètres!$A$1:$I$89,3,0)*VLOOKUP('Données projet'!$B$9,Paramètres!$A$1:$I$89,5,0)</f>
        <v>-1.9065282685915009E-13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534.78683721545372</v>
      </c>
      <c r="T88" s="59">
        <f t="shared" si="88"/>
        <v>710.59298755711075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2.5344982261559252</v>
      </c>
      <c r="AA88" s="21">
        <f>EXP(-LN(2)/25)*AA87+(1-EXP(-LN(2)/25))/(LN(2)/25)*Calculateur!V88*Calculateur!X88*VLOOKUP('Données projet'!$B$9,Paramètres!$A$1:$I$89,3,0)*0.475*44/12</f>
        <v>4.4346273447859206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6.9691255709418458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-5.6843418860808015E-14</v>
      </c>
      <c r="AJ88" s="13">
        <f>AI88*VLOOKUP('Données projet'!$B$10,Paramètres!$A$1:$I$89,3,0)*VLOOKUP('Données projet'!$B$10,Paramètres!$A$1:$I$89,5,0)</f>
        <v>-3.1036506698001178E-14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207.02306964567629</v>
      </c>
      <c r="AO88" s="59">
        <f t="shared" si="90"/>
        <v>342.06887933351783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6.6266452383828787</v>
      </c>
      <c r="AV88" s="21">
        <f>EXP(-LN(2)/25)*AV87+(1-EXP(-LN(2)/25))/(LN(2)/25)*Calculateur!AQ88*Calculateur!AS88*VLOOKUP('Données projet'!$B$10,Paramètres!$A$1:$I$89,3,0)*0.475*44/12</f>
        <v>9.3570102973220752</v>
      </c>
      <c r="AW88" s="21">
        <f>EXP(-LN(2)/2)*AW87+(1-EXP(-LN(2)/2))/(LN(2)/2)*AQ88*AT88*VLOOKUP('Données projet'!$B$10,Paramètres!$A$1:$I$89,3,0)*0.475*44/12</f>
        <v>5.8990123400946365E-8</v>
      </c>
      <c r="AX88" s="21">
        <f t="shared" si="60"/>
        <v>15.983655594695078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-5.3205440053716299E-14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345.45636360520137</v>
      </c>
      <c r="BJ88" s="59">
        <f t="shared" si="92"/>
        <v>469.30074822262549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4.5357403545523471</v>
      </c>
      <c r="BQ88" s="21">
        <f>EXP(-LN(2)/25)*BQ87+(1-EXP(-LN(2)/25))/(LN(2)/25)*Calculateur!BL88*Calculateur!BN88*VLOOKUP('Données projet'!$B$11,Paramètres!$A$1:$I$89,3,0)*0.475*44/12</f>
        <v>4.0135338759030432</v>
      </c>
      <c r="BR88" s="21">
        <f>EXP(-LN(2)/2)*BR87+(1-EXP(-LN(2)/2))/(LN(2)/2)*BL88*BO88*VLOOKUP('Données projet'!$B$11,Paramètres!$A$1:$I$89,3,0)*0.475*44/12</f>
        <v>4.0320064704637544E-8</v>
      </c>
      <c r="BS88" s="22">
        <f t="shared" si="63"/>
        <v>8.5492742707754559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-3.4106051316484809E-13</v>
      </c>
      <c r="O89" s="13">
        <f>N89*VLOOKUP('Données projet'!$B$9,Paramètres!$A$1:$I$89,3,0)*VLOOKUP('Données projet'!$B$9,Paramètres!$A$1:$I$89,5,0)</f>
        <v>-1.9065282685915009E-13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534.78683721545372</v>
      </c>
      <c r="T89" s="59">
        <f t="shared" si="88"/>
        <v>710.59298755711075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2.4847982618322813</v>
      </c>
      <c r="AA89" s="21">
        <f>EXP(-LN(2)/25)*AA88+(1-EXP(-LN(2)/25))/(LN(2)/25)*Calculateur!V89*Calculateur!X89*VLOOKUP('Données projet'!$B$9,Paramètres!$A$1:$I$89,3,0)*0.475*44/12</f>
        <v>4.3133622268358334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6.7981604886681151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-5.6843418860808015E-14</v>
      </c>
      <c r="AJ89" s="13">
        <f>AI89*VLOOKUP('Données projet'!$B$10,Paramètres!$A$1:$I$89,3,0)*VLOOKUP('Données projet'!$B$10,Paramètres!$A$1:$I$89,5,0)</f>
        <v>-3.1036506698001178E-14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207.02306964567629</v>
      </c>
      <c r="AO89" s="59">
        <f t="shared" si="90"/>
        <v>342.06887933351783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6.496700767112686</v>
      </c>
      <c r="AV89" s="21">
        <f>EXP(-LN(2)/25)*AV88+(1-EXP(-LN(2)/25))/(LN(2)/25)*Calculateur!AQ89*Calculateur!AS89*VLOOKUP('Données projet'!$B$10,Paramètres!$A$1:$I$89,3,0)*0.475*44/12</f>
        <v>9.1011423586780165</v>
      </c>
      <c r="AW89" s="21">
        <f>EXP(-LN(2)/2)*AW88+(1-EXP(-LN(2)/2))/(LN(2)/2)*AQ89*AT89*VLOOKUP('Données projet'!$B$10,Paramètres!$A$1:$I$89,3,0)*0.475*44/12</f>
        <v>4.171231627984042E-8</v>
      </c>
      <c r="AX89" s="21">
        <f t="shared" si="60"/>
        <v>15.59784316750302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-5.3205440053716299E-14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345.45636360520137</v>
      </c>
      <c r="BJ89" s="59">
        <f t="shared" si="92"/>
        <v>469.30074822262549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4.44679725272802</v>
      </c>
      <c r="BQ89" s="21">
        <f>EXP(-LN(2)/25)*BQ88+(1-EXP(-LN(2)/25))/(LN(2)/25)*Calculateur!BL89*Calculateur!BN89*VLOOKUP('Données projet'!$B$11,Paramètres!$A$1:$I$89,3,0)*0.475*44/12</f>
        <v>3.9037835810039012</v>
      </c>
      <c r="BR89" s="21">
        <f>EXP(-LN(2)/2)*BR88+(1-EXP(-LN(2)/2))/(LN(2)/2)*BL89*BO89*VLOOKUP('Données projet'!$B$11,Paramètres!$A$1:$I$89,3,0)*0.475*44/12</f>
        <v>2.8510591170529578E-8</v>
      </c>
      <c r="BS89" s="22">
        <f t="shared" si="63"/>
        <v>8.3505808622425128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-3.4106051316484809E-13</v>
      </c>
      <c r="O90" s="13">
        <f>N90*VLOOKUP('Données projet'!$B$9,Paramètres!$A$1:$I$89,3,0)*VLOOKUP('Données projet'!$B$9,Paramètres!$A$1:$I$89,5,0)</f>
        <v>-1.9065282685915009E-13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534.78683721545372</v>
      </c>
      <c r="T90" s="59">
        <f t="shared" si="88"/>
        <v>710.59298755711075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2.4360728834950391</v>
      </c>
      <c r="AA90" s="21">
        <f>EXP(-LN(2)/25)*AA89+(1-EXP(-LN(2)/25))/(LN(2)/25)*Calculateur!V90*Calculateur!X90*VLOOKUP('Données projet'!$B$9,Paramètres!$A$1:$I$89,3,0)*0.475*44/12</f>
        <v>4.1954131099131464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6.6314859934081856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-5.6843418860808015E-14</v>
      </c>
      <c r="AJ90" s="13">
        <f>AI90*VLOOKUP('Données projet'!$B$10,Paramètres!$A$1:$I$89,3,0)*VLOOKUP('Données projet'!$B$10,Paramètres!$A$1:$I$89,5,0)</f>
        <v>-3.1036506698001178E-14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207.02306964567629</v>
      </c>
      <c r="AO90" s="59">
        <f t="shared" si="90"/>
        <v>342.06887933351783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6.3693044276658002</v>
      </c>
      <c r="AV90" s="21">
        <f>EXP(-LN(2)/25)*AV89+(1-EXP(-LN(2)/25))/(LN(2)/25)*Calculateur!AQ90*Calculateur!AS90*VLOOKUP('Données projet'!$B$10,Paramètres!$A$1:$I$89,3,0)*0.475*44/12</f>
        <v>8.8522711422716895</v>
      </c>
      <c r="AW90" s="21">
        <f>EXP(-LN(2)/2)*AW89+(1-EXP(-LN(2)/2))/(LN(2)/2)*AQ90*AT90*VLOOKUP('Données projet'!$B$10,Paramètres!$A$1:$I$89,3,0)*0.475*44/12</f>
        <v>2.9495061700473186E-8</v>
      </c>
      <c r="AX90" s="21">
        <f t="shared" si="60"/>
        <v>15.221575599432551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-5.3205440053716299E-14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345.45636360520137</v>
      </c>
      <c r="BJ90" s="59">
        <f t="shared" si="92"/>
        <v>469.30074822262549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4.3595982708805323</v>
      </c>
      <c r="BQ90" s="21">
        <f>EXP(-LN(2)/25)*BQ89+(1-EXP(-LN(2)/25))/(LN(2)/25)*Calculateur!BL90*Calculateur!BN90*VLOOKUP('Données projet'!$B$11,Paramètres!$A$1:$I$89,3,0)*0.475*44/12</f>
        <v>3.7970344136902932</v>
      </c>
      <c r="BR90" s="21">
        <f>EXP(-LN(2)/2)*BR89+(1-EXP(-LN(2)/2))/(LN(2)/2)*BL90*BO90*VLOOKUP('Données projet'!$B$11,Paramètres!$A$1:$I$89,3,0)*0.475*44/12</f>
        <v>2.0160032352318772E-8</v>
      </c>
      <c r="BS90" s="22">
        <f t="shared" si="63"/>
        <v>8.1566327047308569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-3.4106051316484809E-13</v>
      </c>
      <c r="O91" s="13">
        <f>N91*VLOOKUP('Données projet'!$B$9,Paramètres!$A$1:$I$89,3,0)*VLOOKUP('Données projet'!$B$9,Paramètres!$A$1:$I$89,5,0)</f>
        <v>-1.9065282685915009E-13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534.78683721545372</v>
      </c>
      <c r="T91" s="59">
        <f t="shared" si="88"/>
        <v>710.59298755711075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2.388302980107444</v>
      </c>
      <c r="AA91" s="21">
        <f>EXP(-LN(2)/25)*AA90+(1-EXP(-LN(2)/25))/(LN(2)/25)*Calculateur!V91*Calculateur!X91*VLOOKUP('Données projet'!$B$9,Paramètres!$A$1:$I$89,3,0)*0.475*44/12</f>
        <v>4.0806893177953851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6.4689922979028296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-5.6843418860808015E-14</v>
      </c>
      <c r="AJ91" s="13">
        <f>AI91*VLOOKUP('Données projet'!$B$10,Paramètres!$A$1:$I$89,3,0)*VLOOKUP('Données projet'!$B$10,Paramètres!$A$1:$I$89,5,0)</f>
        <v>-3.1036506698001178E-14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207.02306964567629</v>
      </c>
      <c r="AO91" s="59">
        <f t="shared" si="90"/>
        <v>342.06887933351783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6.2444062527313733</v>
      </c>
      <c r="AV91" s="21">
        <f>EXP(-LN(2)/25)*AV90+(1-EXP(-LN(2)/25))/(LN(2)/25)*Calculateur!AQ91*Calculateur!AS91*VLOOKUP('Données projet'!$B$10,Paramètres!$A$1:$I$89,3,0)*0.475*44/12</f>
        <v>8.6102053223655624</v>
      </c>
      <c r="AW91" s="21">
        <f>EXP(-LN(2)/2)*AW90+(1-EXP(-LN(2)/2))/(LN(2)/2)*AQ91*AT91*VLOOKUP('Données projet'!$B$10,Paramètres!$A$1:$I$89,3,0)*0.475*44/12</f>
        <v>2.0856158139920214E-8</v>
      </c>
      <c r="AX91" s="21">
        <f t="shared" si="60"/>
        <v>14.854611595953093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-5.3205440053716299E-14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345.45636360520137</v>
      </c>
      <c r="BJ91" s="59">
        <f t="shared" si="92"/>
        <v>469.30074822262549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4.2741092078809464</v>
      </c>
      <c r="BQ91" s="21">
        <f>EXP(-LN(2)/25)*BQ90+(1-EXP(-LN(2)/25))/(LN(2)/25)*Calculateur!BL91*Calculateur!BN91*VLOOKUP('Données projet'!$B$11,Paramètres!$A$1:$I$89,3,0)*0.475*44/12</f>
        <v>3.6932043079705705</v>
      </c>
      <c r="BR91" s="21">
        <f>EXP(-LN(2)/2)*BR90+(1-EXP(-LN(2)/2))/(LN(2)/2)*BL91*BO91*VLOOKUP('Données projet'!$B$11,Paramètres!$A$1:$I$89,3,0)*0.475*44/12</f>
        <v>1.4255295585264789E-8</v>
      </c>
      <c r="BS91" s="22">
        <f t="shared" si="63"/>
        <v>7.9673135301068125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-3.4106051316484809E-13</v>
      </c>
      <c r="O92" s="13">
        <f>N92*VLOOKUP('Données projet'!$B$9,Paramètres!$A$1:$I$89,3,0)*VLOOKUP('Données projet'!$B$9,Paramètres!$A$1:$I$89,5,0)</f>
        <v>-1.9065282685915009E-13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534.78683721545372</v>
      </c>
      <c r="T92" s="59">
        <f t="shared" si="88"/>
        <v>710.59298755711075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2.3414698153885158</v>
      </c>
      <c r="AA92" s="21">
        <f>EXP(-LN(2)/25)*AA91+(1-EXP(-LN(2)/25))/(LN(2)/25)*Calculateur!V92*Calculateur!X92*VLOOKUP('Données projet'!$B$9,Paramètres!$A$1:$I$89,3,0)*0.475*44/12</f>
        <v>3.9691026538061456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6.3105724691946614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-5.6843418860808015E-14</v>
      </c>
      <c r="AJ92" s="13">
        <f>AI92*VLOOKUP('Données projet'!$B$10,Paramètres!$A$1:$I$89,3,0)*VLOOKUP('Données projet'!$B$10,Paramètres!$A$1:$I$89,5,0)</f>
        <v>-3.1036506698001178E-14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207.02306964567629</v>
      </c>
      <c r="AO92" s="59">
        <f t="shared" si="90"/>
        <v>342.06887933351783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6.1219572548270458</v>
      </c>
      <c r="AV92" s="21">
        <f>EXP(-LN(2)/25)*AV91+(1-EXP(-LN(2)/25))/(LN(2)/25)*Calculateur!AQ92*Calculateur!AS92*VLOOKUP('Données projet'!$B$10,Paramètres!$A$1:$I$89,3,0)*0.475*44/12</f>
        <v>8.3747588050344568</v>
      </c>
      <c r="AW92" s="21">
        <f>EXP(-LN(2)/2)*AW91+(1-EXP(-LN(2)/2))/(LN(2)/2)*AQ92*AT92*VLOOKUP('Données projet'!$B$10,Paramètres!$A$1:$I$89,3,0)*0.475*44/12</f>
        <v>1.4747530850236596E-8</v>
      </c>
      <c r="AX92" s="21">
        <f t="shared" si="60"/>
        <v>14.496716074609033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-5.3205440053716299E-14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345.45636360520137</v>
      </c>
      <c r="BJ92" s="59">
        <f t="shared" si="92"/>
        <v>469.30074822262549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4.1902965332636031</v>
      </c>
      <c r="BQ92" s="21">
        <f>EXP(-LN(2)/25)*BQ91+(1-EXP(-LN(2)/25))/(LN(2)/25)*Calculateur!BL92*Calculateur!BN92*VLOOKUP('Données projet'!$B$11,Paramètres!$A$1:$I$89,3,0)*0.475*44/12</f>
        <v>3.5922134419519418</v>
      </c>
      <c r="BR92" s="21">
        <f>EXP(-LN(2)/2)*BR91+(1-EXP(-LN(2)/2))/(LN(2)/2)*BL92*BO92*VLOOKUP('Données projet'!$B$11,Paramètres!$A$1:$I$89,3,0)*0.475*44/12</f>
        <v>1.0080016176159386E-8</v>
      </c>
      <c r="BS92" s="22">
        <f t="shared" si="63"/>
        <v>7.7825099852955608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-3.4106051316484809E-13</v>
      </c>
      <c r="O93" s="13">
        <f>N93*VLOOKUP('Données projet'!$B$9,Paramètres!$A$1:$I$89,3,0)*VLOOKUP('Données projet'!$B$9,Paramètres!$A$1:$I$89,5,0)</f>
        <v>-1.9065282685915009E-13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534.78683721545372</v>
      </c>
      <c r="T93" s="59">
        <f t="shared" si="88"/>
        <v>710.59298755711075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2.2955550204643158</v>
      </c>
      <c r="AA93" s="21">
        <f>EXP(-LN(2)/25)*AA92+(1-EXP(-LN(2)/25))/(LN(2)/25)*Calculateur!V93*Calculateur!X93*VLOOKUP('Données projet'!$B$9,Paramètres!$A$1:$I$89,3,0)*0.475*44/12</f>
        <v>3.8605673330117796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6.1561223534760954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-5.6843418860808015E-14</v>
      </c>
      <c r="AJ93" s="13">
        <f>AI93*VLOOKUP('Données projet'!$B$10,Paramètres!$A$1:$I$89,3,0)*VLOOKUP('Données projet'!$B$10,Paramètres!$A$1:$I$89,5,0)</f>
        <v>-3.1036506698001178E-14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207.02306964567629</v>
      </c>
      <c r="AO93" s="59">
        <f t="shared" si="90"/>
        <v>342.06887933351783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6.0019094070851082</v>
      </c>
      <c r="AV93" s="21">
        <f>EXP(-LN(2)/25)*AV92+(1-EXP(-LN(2)/25))/(LN(2)/25)*Calculateur!AQ93*Calculateur!AS93*VLOOKUP('Données projet'!$B$10,Paramètres!$A$1:$I$89,3,0)*0.475*44/12</f>
        <v>8.1457505851013643</v>
      </c>
      <c r="AW93" s="21">
        <f>EXP(-LN(2)/2)*AW92+(1-EXP(-LN(2)/2))/(LN(2)/2)*AQ93*AT93*VLOOKUP('Données projet'!$B$10,Paramètres!$A$1:$I$89,3,0)*0.475*44/12</f>
        <v>1.0428079069960108E-8</v>
      </c>
      <c r="AX93" s="21">
        <f t="shared" si="60"/>
        <v>14.147660002614552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-5.3205440053716299E-14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345.45636360520137</v>
      </c>
      <c r="BJ93" s="59">
        <f t="shared" si="92"/>
        <v>469.30074822262549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4.1081273740748223</v>
      </c>
      <c r="BQ93" s="21">
        <f>EXP(-LN(2)/25)*BQ92+(1-EXP(-LN(2)/25))/(LN(2)/25)*Calculateur!BL93*Calculateur!BN93*VLOOKUP('Données projet'!$B$11,Paramètres!$A$1:$I$89,3,0)*0.475*44/12</f>
        <v>3.4939841764754713</v>
      </c>
      <c r="BR93" s="21">
        <f>EXP(-LN(2)/2)*BR92+(1-EXP(-LN(2)/2))/(LN(2)/2)*BL93*BO93*VLOOKUP('Données projet'!$B$11,Paramètres!$A$1:$I$89,3,0)*0.475*44/12</f>
        <v>7.1276477926323945E-9</v>
      </c>
      <c r="BS93" s="22">
        <f t="shared" si="63"/>
        <v>7.6021115576779419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-3.4106051316484809E-13</v>
      </c>
      <c r="O94" s="13">
        <f>N94*VLOOKUP('Données projet'!$B$9,Paramètres!$A$1:$I$89,3,0)*VLOOKUP('Données projet'!$B$9,Paramètres!$A$1:$I$89,5,0)</f>
        <v>-1.9065282685915009E-13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534.78683721545372</v>
      </c>
      <c r="T94" s="59">
        <f t="shared" si="88"/>
        <v>710.59298755711075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2.2505405866633197</v>
      </c>
      <c r="AA94" s="21">
        <f>EXP(-LN(2)/25)*AA93+(1-EXP(-LN(2)/25))/(LN(2)/25)*Calculateur!V94*Calculateur!X94*VLOOKUP('Données projet'!$B$9,Paramètres!$A$1:$I$89,3,0)*0.475*44/12</f>
        <v>3.7549999162721597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6.0055405029354798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-5.6843418860808015E-14</v>
      </c>
      <c r="AJ94" s="13">
        <f>AI94*VLOOKUP('Données projet'!$B$10,Paramètres!$A$1:$I$89,3,0)*VLOOKUP('Données projet'!$B$10,Paramètres!$A$1:$I$89,5,0)</f>
        <v>-3.1036506698001178E-14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207.02306964567629</v>
      </c>
      <c r="AO94" s="59">
        <f t="shared" si="90"/>
        <v>342.06887933351783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5.8842156244154333</v>
      </c>
      <c r="AV94" s="21">
        <f>EXP(-LN(2)/25)*AV93+(1-EXP(-LN(2)/25))/(LN(2)/25)*Calculateur!AQ94*Calculateur!AS94*VLOOKUP('Données projet'!$B$10,Paramètres!$A$1:$I$89,3,0)*0.475*44/12</f>
        <v>7.9230046069853612</v>
      </c>
      <c r="AW94" s="21">
        <f>EXP(-LN(2)/2)*AW93+(1-EXP(-LN(2)/2))/(LN(2)/2)*AQ94*AT94*VLOOKUP('Données projet'!$B$10,Paramètres!$A$1:$I$89,3,0)*0.475*44/12</f>
        <v>7.3737654251182989E-9</v>
      </c>
      <c r="AX94" s="21">
        <f t="shared" si="60"/>
        <v>13.80722023877456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-5.3205440053716299E-14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345.45636360520137</v>
      </c>
      <c r="BJ94" s="59">
        <f t="shared" si="92"/>
        <v>469.30074822262549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4.027569501979495</v>
      </c>
      <c r="BQ94" s="21">
        <f>EXP(-LN(2)/25)*BQ93+(1-EXP(-LN(2)/25))/(LN(2)/25)*Calculateur!BL94*Calculateur!BN94*VLOOKUP('Données projet'!$B$11,Paramètres!$A$1:$I$89,3,0)*0.475*44/12</f>
        <v>3.3984409954291075</v>
      </c>
      <c r="BR94" s="21">
        <f>EXP(-LN(2)/2)*BR93+(1-EXP(-LN(2)/2))/(LN(2)/2)*BL94*BO94*VLOOKUP('Données projet'!$B$11,Paramètres!$A$1:$I$89,3,0)*0.475*44/12</f>
        <v>5.040008088079693E-9</v>
      </c>
      <c r="BS94" s="22">
        <f t="shared" si="63"/>
        <v>7.4260105024486114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-3.4106051316484809E-13</v>
      </c>
      <c r="O95" s="13">
        <f>N95*VLOOKUP('Données projet'!$B$9,Paramètres!$A$1:$I$89,3,0)*VLOOKUP('Données projet'!$B$9,Paramètres!$A$1:$I$89,5,0)</f>
        <v>-1.9065282685915009E-13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534.78683721545372</v>
      </c>
      <c r="T95" s="59">
        <f t="shared" si="88"/>
        <v>710.59298755711075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2.2064088584530674</v>
      </c>
      <c r="AA95" s="21">
        <f>EXP(-LN(2)/25)*AA94+(1-EXP(-LN(2)/25))/(LN(2)/25)*Calculateur!V95*Calculateur!X95*VLOOKUP('Données projet'!$B$9,Paramètres!$A$1:$I$89,3,0)*0.475*44/12</f>
        <v>3.6523192460948342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5.858728104547902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-5.6843418860808015E-14</v>
      </c>
      <c r="AJ95" s="13">
        <f>AI95*VLOOKUP('Données projet'!$B$10,Paramètres!$A$1:$I$89,3,0)*VLOOKUP('Données projet'!$B$10,Paramètres!$A$1:$I$89,5,0)</f>
        <v>-3.1036506698001178E-14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207.02306964567629</v>
      </c>
      <c r="AO95" s="59">
        <f t="shared" si="90"/>
        <v>342.06887933351783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5.7688297450377917</v>
      </c>
      <c r="AV95" s="21">
        <f>EXP(-LN(2)/25)*AV94+(1-EXP(-LN(2)/25))/(LN(2)/25)*Calculateur!AQ95*Calculateur!AS95*VLOOKUP('Données projet'!$B$10,Paramètres!$A$1:$I$89,3,0)*0.475*44/12</f>
        <v>7.7063496293546425</v>
      </c>
      <c r="AW95" s="21">
        <f>EXP(-LN(2)/2)*AW94+(1-EXP(-LN(2)/2))/(LN(2)/2)*AQ95*AT95*VLOOKUP('Données projet'!$B$10,Paramètres!$A$1:$I$89,3,0)*0.475*44/12</f>
        <v>5.214039534980055E-9</v>
      </c>
      <c r="AX95" s="21">
        <f t="shared" si="60"/>
        <v>13.475179379606473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-5.3205440053716299E-14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345.45636360520137</v>
      </c>
      <c r="BJ95" s="59">
        <f t="shared" si="92"/>
        <v>469.30074822262549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3.9485913206205066</v>
      </c>
      <c r="BQ95" s="21">
        <f>EXP(-LN(2)/25)*BQ94+(1-EXP(-LN(2)/25))/(LN(2)/25)*Calculateur!BL95*Calculateur!BN95*VLOOKUP('Données projet'!$B$11,Paramètres!$A$1:$I$89,3,0)*0.475*44/12</f>
        <v>3.3055104476928538</v>
      </c>
      <c r="BR95" s="21">
        <f>EXP(-LN(2)/2)*BR94+(1-EXP(-LN(2)/2))/(LN(2)/2)*BL95*BO95*VLOOKUP('Données projet'!$B$11,Paramètres!$A$1:$I$89,3,0)*0.475*44/12</f>
        <v>3.5638238963161973E-9</v>
      </c>
      <c r="BS95" s="22">
        <f t="shared" si="63"/>
        <v>7.2541017718771839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-3.4106051316484809E-13</v>
      </c>
      <c r="O96" s="13">
        <f>N96*VLOOKUP('Données projet'!$B$9,Paramètres!$A$1:$I$89,3,0)*VLOOKUP('Données projet'!$B$9,Paramètres!$A$1:$I$89,5,0)</f>
        <v>-1.9065282685915009E-13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534.78683721545372</v>
      </c>
      <c r="T96" s="59">
        <f t="shared" si="88"/>
        <v>710.59298755711075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2.1631425265153221</v>
      </c>
      <c r="AA96" s="21">
        <f>EXP(-LN(2)/25)*AA95+(1-EXP(-LN(2)/25))/(LN(2)/25)*Calculateur!V96*Calculateur!X96*VLOOKUP('Données projet'!$B$9,Paramètres!$A$1:$I$89,3,0)*0.475*44/12</f>
        <v>3.5524463842432494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5.7155889107585711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-5.6843418860808015E-14</v>
      </c>
      <c r="AJ96" s="13">
        <f>AI96*VLOOKUP('Données projet'!$B$10,Paramètres!$A$1:$I$89,3,0)*VLOOKUP('Données projet'!$B$10,Paramètres!$A$1:$I$89,5,0)</f>
        <v>-3.1036506698001178E-14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207.02306964567629</v>
      </c>
      <c r="AO96" s="59">
        <f t="shared" si="90"/>
        <v>342.06887933351783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5.6557065123763079</v>
      </c>
      <c r="AV96" s="21">
        <f>EXP(-LN(2)/25)*AV95+(1-EXP(-LN(2)/25))/(LN(2)/25)*Calculateur!AQ96*Calculateur!AS96*VLOOKUP('Données projet'!$B$10,Paramètres!$A$1:$I$89,3,0)*0.475*44/12</f>
        <v>7.4956190934806255</v>
      </c>
      <c r="AW96" s="21">
        <f>EXP(-LN(2)/2)*AW95+(1-EXP(-LN(2)/2))/(LN(2)/2)*AQ96*AT96*VLOOKUP('Données projet'!$B$10,Paramètres!$A$1:$I$89,3,0)*0.475*44/12</f>
        <v>3.6868827125591499E-9</v>
      </c>
      <c r="AX96" s="21">
        <f t="shared" si="60"/>
        <v>13.151325609543814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-5.3205440053716299E-14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345.45636360520137</v>
      </c>
      <c r="BJ96" s="59">
        <f t="shared" si="92"/>
        <v>469.30074822262549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3.8711618532260341</v>
      </c>
      <c r="BQ96" s="21">
        <f>EXP(-LN(2)/25)*BQ95+(1-EXP(-LN(2)/25))/(LN(2)/25)*Calculateur!BL96*Calculateur!BN96*VLOOKUP('Données projet'!$B$11,Paramètres!$A$1:$I$89,3,0)*0.475*44/12</f>
        <v>3.2151210906714534</v>
      </c>
      <c r="BR96" s="21">
        <f>EXP(-LN(2)/2)*BR95+(1-EXP(-LN(2)/2))/(LN(2)/2)*BL96*BO96*VLOOKUP('Données projet'!$B$11,Paramètres!$A$1:$I$89,3,0)*0.475*44/12</f>
        <v>2.5200040440398465E-9</v>
      </c>
      <c r="BS96" s="22">
        <f t="shared" si="63"/>
        <v>7.0862829464174908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-3.4106051316484809E-13</v>
      </c>
      <c r="O97" s="13">
        <f>N97*VLOOKUP('Données projet'!$B$9,Paramètres!$A$1:$I$89,3,0)*VLOOKUP('Données projet'!$B$9,Paramètres!$A$1:$I$89,5,0)</f>
        <v>-1.9065282685915009E-13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534.78683721545372</v>
      </c>
      <c r="T97" s="59">
        <f t="shared" si="88"/>
        <v>710.59298755711075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2.1207246209570192</v>
      </c>
      <c r="AA97" s="21">
        <f>EXP(-LN(2)/25)*AA96+(1-EXP(-LN(2)/25))/(LN(2)/25)*Calculateur!V97*Calculateur!X97*VLOOKUP('Données projet'!$B$9,Paramètres!$A$1:$I$89,3,0)*0.475*44/12</f>
        <v>3.4553045510510816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5.5760291720081003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-5.6843418860808015E-14</v>
      </c>
      <c r="AJ97" s="13">
        <f>AI97*VLOOKUP('Données projet'!$B$10,Paramètres!$A$1:$I$89,3,0)*VLOOKUP('Données projet'!$B$10,Paramètres!$A$1:$I$89,5,0)</f>
        <v>-3.1036506698001178E-14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207.02306964567629</v>
      </c>
      <c r="AO97" s="59">
        <f t="shared" si="90"/>
        <v>342.06887933351783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5.5448015573089577</v>
      </c>
      <c r="AV97" s="21">
        <f>EXP(-LN(2)/25)*AV96+(1-EXP(-LN(2)/25))/(LN(2)/25)*Calculateur!AQ97*Calculateur!AS97*VLOOKUP('Données projet'!$B$10,Paramètres!$A$1:$I$89,3,0)*0.475*44/12</f>
        <v>7.2906509951919212</v>
      </c>
      <c r="AW97" s="21">
        <f>EXP(-LN(2)/2)*AW96+(1-EXP(-LN(2)/2))/(LN(2)/2)*AQ97*AT97*VLOOKUP('Données projet'!$B$10,Paramètres!$A$1:$I$89,3,0)*0.475*44/12</f>
        <v>2.6070197674900279E-9</v>
      </c>
      <c r="AX97" s="21">
        <f t="shared" si="60"/>
        <v>12.835452555107899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-5.3205440053716299E-14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345.45636360520137</v>
      </c>
      <c r="BJ97" s="59">
        <f t="shared" si="92"/>
        <v>469.30074822262549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3.7952507304598555</v>
      </c>
      <c r="BQ97" s="21">
        <f>EXP(-LN(2)/25)*BQ96+(1-EXP(-LN(2)/25))/(LN(2)/25)*Calculateur!BL97*Calculateur!BN97*VLOOKUP('Données projet'!$B$11,Paramètres!$A$1:$I$89,3,0)*0.475*44/12</f>
        <v>3.1272034353711726</v>
      </c>
      <c r="BR97" s="21">
        <f>EXP(-LN(2)/2)*BR96+(1-EXP(-LN(2)/2))/(LN(2)/2)*BL97*BO97*VLOOKUP('Données projet'!$B$11,Paramètres!$A$1:$I$89,3,0)*0.475*44/12</f>
        <v>1.7819119481580986E-9</v>
      </c>
      <c r="BS97" s="22">
        <f t="shared" si="63"/>
        <v>6.9224541676129396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-3.4106051316484809E-13</v>
      </c>
      <c r="O98" s="13">
        <f>N98*VLOOKUP('Données projet'!$B$9,Paramètres!$A$1:$I$89,3,0)*VLOOKUP('Données projet'!$B$9,Paramètres!$A$1:$I$89,5,0)</f>
        <v>-1.9065282685915009E-13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534.78683721545372</v>
      </c>
      <c r="T98" s="59">
        <f t="shared" si="88"/>
        <v>710.59298755711075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2.0791385046543467</v>
      </c>
      <c r="AA98" s="21">
        <f>EXP(-LN(2)/25)*AA97+(1-EXP(-LN(2)/25))/(LN(2)/25)*Calculateur!V98*Calculateur!X98*VLOOKUP('Données projet'!$B$9,Paramètres!$A$1:$I$89,3,0)*0.475*44/12</f>
        <v>3.3608190663960205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5.4399575710503676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-5.6843418860808015E-14</v>
      </c>
      <c r="AJ98" s="13">
        <f>AI98*VLOOKUP('Données projet'!$B$10,Paramètres!$A$1:$I$89,3,0)*VLOOKUP('Données projet'!$B$10,Paramètres!$A$1:$I$89,5,0)</f>
        <v>-3.1036506698001178E-14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207.02306964567629</v>
      </c>
      <c r="AO98" s="59">
        <f t="shared" si="90"/>
        <v>342.06887933351783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5.4360713807651351</v>
      </c>
      <c r="AV98" s="21">
        <f>EXP(-LN(2)/25)*AV97+(1-EXP(-LN(2)/25))/(LN(2)/25)*Calculateur!AQ98*Calculateur!AS98*VLOOKUP('Données projet'!$B$10,Paramètres!$A$1:$I$89,3,0)*0.475*44/12</f>
        <v>7.0912877603297249</v>
      </c>
      <c r="AW98" s="21">
        <f>EXP(-LN(2)/2)*AW97+(1-EXP(-LN(2)/2))/(LN(2)/2)*AQ98*AT98*VLOOKUP('Données projet'!$B$10,Paramètres!$A$1:$I$89,3,0)*0.475*44/12</f>
        <v>1.8434413562795753E-9</v>
      </c>
      <c r="AX98" s="21">
        <f t="shared" si="60"/>
        <v>12.5273591429383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-5.3205440053716299E-14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345.45636360520137</v>
      </c>
      <c r="BJ98" s="59">
        <f t="shared" si="92"/>
        <v>469.30074822262549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3.7208281785099087</v>
      </c>
      <c r="BQ98" s="21">
        <f>EXP(-LN(2)/25)*BQ97+(1-EXP(-LN(2)/25))/(LN(2)/25)*Calculateur!BL98*Calculateur!BN98*VLOOKUP('Données projet'!$B$11,Paramètres!$A$1:$I$89,3,0)*0.475*44/12</f>
        <v>3.0416898929784666</v>
      </c>
      <c r="BR98" s="21">
        <f>EXP(-LN(2)/2)*BR97+(1-EXP(-LN(2)/2))/(LN(2)/2)*BL98*BO98*VLOOKUP('Données projet'!$B$11,Paramètres!$A$1:$I$89,3,0)*0.475*44/12</f>
        <v>1.2600020220199232E-9</v>
      </c>
      <c r="BS98" s="22">
        <f t="shared" si="63"/>
        <v>6.7625180727483771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-3.4106051316484809E-13</v>
      </c>
      <c r="O99" s="13">
        <f>N99*VLOOKUP('Données projet'!$B$9,Paramètres!$A$1:$I$89,3,0)*VLOOKUP('Données projet'!$B$9,Paramètres!$A$1:$I$89,5,0)</f>
        <v>-1.9065282685915009E-13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534.78683721545372</v>
      </c>
      <c r="T99" s="59">
        <f t="shared" si="88"/>
        <v>710.59298755711075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2.0383678667273433</v>
      </c>
      <c r="AA99" s="21">
        <f>EXP(-LN(2)/25)*AA98+(1-EXP(-LN(2)/25))/(LN(2)/25)*Calculateur!V99*Calculateur!X99*VLOOKUP('Données projet'!$B$9,Paramètres!$A$1:$I$89,3,0)*0.475*44/12</f>
        <v>3.268917292287628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5.3072851590149712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-5.6843418860808015E-14</v>
      </c>
      <c r="AJ99" s="13">
        <f>AI99*VLOOKUP('Données projet'!$B$10,Paramètres!$A$1:$I$89,3,0)*VLOOKUP('Données projet'!$B$10,Paramètres!$A$1:$I$89,5,0)</f>
        <v>-3.1036506698001178E-14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207.02306964567629</v>
      </c>
      <c r="AO99" s="59">
        <f t="shared" si="90"/>
        <v>342.06887933351783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5.3294733366644769</v>
      </c>
      <c r="AV99" s="21">
        <f>EXP(-LN(2)/25)*AV98+(1-EXP(-LN(2)/25))/(LN(2)/25)*Calculateur!AQ99*Calculateur!AS99*VLOOKUP('Données projet'!$B$10,Paramètres!$A$1:$I$89,3,0)*0.475*44/12</f>
        <v>6.8973761236088924</v>
      </c>
      <c r="AW99" s="21">
        <f>EXP(-LN(2)/2)*AW98+(1-EXP(-LN(2)/2))/(LN(2)/2)*AQ99*AT99*VLOOKUP('Données projet'!$B$10,Paramètres!$A$1:$I$89,3,0)*0.475*44/12</f>
        <v>1.3035098837450142E-9</v>
      </c>
      <c r="AX99" s="21">
        <f t="shared" si="60"/>
        <v>12.226849461576879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-5.3205440053716299E-14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345.45636360520137</v>
      </c>
      <c r="BJ99" s="59">
        <f t="shared" si="92"/>
        <v>469.30074822262549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3.6478650074104255</v>
      </c>
      <c r="BQ99" s="21">
        <f>EXP(-LN(2)/25)*BQ98+(1-EXP(-LN(2)/25))/(LN(2)/25)*Calculateur!BL99*Calculateur!BN99*VLOOKUP('Données projet'!$B$11,Paramètres!$A$1:$I$89,3,0)*0.475*44/12</f>
        <v>2.9585147228994506</v>
      </c>
      <c r="BR99" s="21">
        <f>EXP(-LN(2)/2)*BR98+(1-EXP(-LN(2)/2))/(LN(2)/2)*BL99*BO99*VLOOKUP('Données projet'!$B$11,Paramètres!$A$1:$I$89,3,0)*0.475*44/12</f>
        <v>8.9095597407904932E-10</v>
      </c>
      <c r="BS99" s="22">
        <f t="shared" si="63"/>
        <v>6.6063797312008319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-3.4106051316484809E-13</v>
      </c>
      <c r="O100" s="13">
        <f>N100*VLOOKUP('Données projet'!$B$9,Paramètres!$A$1:$I$89,3,0)*VLOOKUP('Données projet'!$B$9,Paramètres!$A$1:$I$89,5,0)</f>
        <v>-1.9065282685915009E-13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534.78683721545372</v>
      </c>
      <c r="T100" s="59">
        <f t="shared" si="88"/>
        <v>710.59298755711075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1.998396716142455</v>
      </c>
      <c r="AA100" s="21">
        <f>EXP(-LN(2)/25)*AA99+(1-EXP(-LN(2)/25))/(LN(2)/25)*Calculateur!V100*Calculateur!X100*VLOOKUP('Données projet'!$B$9,Paramètres!$A$1:$I$89,3,0)*0.475*44/12</f>
        <v>3.1795285770251334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5.1779252931675881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-5.6843418860808015E-14</v>
      </c>
      <c r="AJ100" s="13">
        <f>AI100*VLOOKUP('Données projet'!$B$10,Paramètres!$A$1:$I$89,3,0)*VLOOKUP('Données projet'!$B$10,Paramètres!$A$1:$I$89,5,0)</f>
        <v>-3.1036506698001178E-14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207.02306964567629</v>
      </c>
      <c r="AO100" s="59">
        <f t="shared" si="90"/>
        <v>342.06887933351783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5.2249656151902464</v>
      </c>
      <c r="AV100" s="21">
        <f>EXP(-LN(2)/25)*AV99+(1-EXP(-LN(2)/25))/(LN(2)/25)*Calculateur!AQ100*Calculateur!AS100*VLOOKUP('Données projet'!$B$10,Paramètres!$A$1:$I$89,3,0)*0.475*44/12</f>
        <v>6.7087670107915613</v>
      </c>
      <c r="AW100" s="21">
        <f>EXP(-LN(2)/2)*AW99+(1-EXP(-LN(2)/2))/(LN(2)/2)*AQ100*AT100*VLOOKUP('Données projet'!$B$10,Paramètres!$A$1:$I$89,3,0)*0.475*44/12</f>
        <v>9.2172067813978777E-10</v>
      </c>
      <c r="AX100" s="21">
        <f t="shared" si="60"/>
        <v>11.933732626903529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-5.3205440053716299E-14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345.45636360520137</v>
      </c>
      <c r="BJ100" s="59">
        <f t="shared" si="92"/>
        <v>469.30074822262549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3.5763325995930635</v>
      </c>
      <c r="BQ100" s="21">
        <f>EXP(-LN(2)/25)*BQ99+(1-EXP(-LN(2)/25))/(LN(2)/25)*Calculateur!BL100*Calculateur!BN100*VLOOKUP('Données projet'!$B$11,Paramètres!$A$1:$I$89,3,0)*0.475*44/12</f>
        <v>2.8776139822202378</v>
      </c>
      <c r="BR100" s="21">
        <f>EXP(-LN(2)/2)*BR99+(1-EXP(-LN(2)/2))/(LN(2)/2)*BL100*BO100*VLOOKUP('Données projet'!$B$11,Paramètres!$A$1:$I$89,3,0)*0.475*44/12</f>
        <v>6.3000101100996162E-10</v>
      </c>
      <c r="BS100" s="22">
        <f t="shared" si="63"/>
        <v>6.4539465824433027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-3.4106051316484809E-13</v>
      </c>
      <c r="O101" s="13">
        <f>N101*VLOOKUP('Données projet'!$B$9,Paramètres!$A$1:$I$89,3,0)*VLOOKUP('Données projet'!$B$9,Paramètres!$A$1:$I$89,5,0)</f>
        <v>-1.9065282685915009E-13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534.78683721545372</v>
      </c>
      <c r="T101" s="59">
        <f t="shared" si="88"/>
        <v>710.59298755711075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1.9592093754405417</v>
      </c>
      <c r="AA101" s="21">
        <f>EXP(-LN(2)/25)*AA100+(1-EXP(-LN(2)/25))/(LN(2)/25)*Calculateur!V101*Calculateur!X101*VLOOKUP('Données projet'!$B$9,Paramètres!$A$1:$I$89,3,0)*0.475*44/12</f>
        <v>3.0925842008822402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5.0517935763227815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-5.6843418860808015E-14</v>
      </c>
      <c r="AJ101" s="13">
        <f>AI101*VLOOKUP('Données projet'!$B$10,Paramètres!$A$1:$I$89,3,0)*VLOOKUP('Données projet'!$B$10,Paramètres!$A$1:$I$89,5,0)</f>
        <v>-3.1036506698001178E-14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207.02306964567629</v>
      </c>
      <c r="AO101" s="59">
        <f t="shared" si="90"/>
        <v>342.06887933351783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5.1225072263907094</v>
      </c>
      <c r="AV101" s="21">
        <f>EXP(-LN(2)/25)*AV100+(1-EXP(-LN(2)/25))/(LN(2)/25)*Calculateur!AQ101*Calculateur!AS101*VLOOKUP('Données projet'!$B$10,Paramètres!$A$1:$I$89,3,0)*0.475*44/12</f>
        <v>6.5253154240827422</v>
      </c>
      <c r="AW101" s="21">
        <f>EXP(-LN(2)/2)*AW100+(1-EXP(-LN(2)/2))/(LN(2)/2)*AQ101*AT101*VLOOKUP('Données projet'!$B$10,Paramètres!$A$1:$I$89,3,0)*0.475*44/12</f>
        <v>6.5175494187250719E-10</v>
      </c>
      <c r="AX101" s="21">
        <f t="shared" si="60"/>
        <v>11.647822651125205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-5.3205440053716299E-14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345.45636360520137</v>
      </c>
      <c r="BJ101" s="59">
        <f t="shared" si="92"/>
        <v>469.30074822262549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3.5062028986625391</v>
      </c>
      <c r="BQ101" s="21">
        <f>EXP(-LN(2)/25)*BQ100+(1-EXP(-LN(2)/25))/(LN(2)/25)*Calculateur!BL101*Calculateur!BN101*VLOOKUP('Données projet'!$B$11,Paramètres!$A$1:$I$89,3,0)*0.475*44/12</f>
        <v>2.7989254765492828</v>
      </c>
      <c r="BR101" s="21">
        <f>EXP(-LN(2)/2)*BR100+(1-EXP(-LN(2)/2))/(LN(2)/2)*BL101*BO101*VLOOKUP('Données projet'!$B$11,Paramètres!$A$1:$I$89,3,0)*0.475*44/12</f>
        <v>4.4547798703952466E-10</v>
      </c>
      <c r="BS101" s="22">
        <f t="shared" si="63"/>
        <v>6.3051283756573007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-3.4106051316484809E-13</v>
      </c>
      <c r="O102" s="13">
        <f>N102*VLOOKUP('Données projet'!$B$9,Paramètres!$A$1:$I$89,3,0)*VLOOKUP('Données projet'!$B$9,Paramètres!$A$1:$I$89,5,0)</f>
        <v>-1.9065282685915009E-13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534.78683721545372</v>
      </c>
      <c r="T102" s="59">
        <f t="shared" si="88"/>
        <v>710.59298755711075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1.9207904745878752</v>
      </c>
      <c r="AA102" s="21">
        <f>EXP(-LN(2)/25)*AA101+(1-EXP(-LN(2)/25))/(LN(2)/25)*Calculateur!V102*Calculateur!X102*VLOOKUP('Données projet'!$B$9,Paramètres!$A$1:$I$89,3,0)*0.475*44/12</f>
        <v>3.0080173232771803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4.9288077978650557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-5.6843418860808015E-14</v>
      </c>
      <c r="AJ102" s="13">
        <f>AI102*VLOOKUP('Données projet'!$B$10,Paramètres!$A$1:$I$89,3,0)*VLOOKUP('Données projet'!$B$10,Paramètres!$A$1:$I$89,5,0)</f>
        <v>-3.1036506698001178E-14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207.02306964567629</v>
      </c>
      <c r="AO102" s="59">
        <f t="shared" si="90"/>
        <v>342.06887933351783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5.0220579841020845</v>
      </c>
      <c r="AV102" s="21">
        <f>EXP(-LN(2)/25)*AV101+(1-EXP(-LN(2)/25))/(LN(2)/25)*Calculateur!AQ102*Calculateur!AS102*VLOOKUP('Données projet'!$B$10,Paramètres!$A$1:$I$89,3,0)*0.475*44/12</f>
        <v>6.3468803306597756</v>
      </c>
      <c r="AW102" s="21">
        <f>EXP(-LN(2)/2)*AW101+(1-EXP(-LN(2)/2))/(LN(2)/2)*AQ102*AT102*VLOOKUP('Données projet'!$B$10,Paramètres!$A$1:$I$89,3,0)*0.475*44/12</f>
        <v>4.6086033906989399E-10</v>
      </c>
      <c r="AX102" s="21">
        <f t="shared" si="60"/>
        <v>11.368938315222719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-5.3205440053716299E-14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345.45636360520137</v>
      </c>
      <c r="BJ102" s="59">
        <f t="shared" si="92"/>
        <v>469.30074822262549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3.4374483983923683</v>
      </c>
      <c r="BQ102" s="21">
        <f>EXP(-LN(2)/25)*BQ101+(1-EXP(-LN(2)/25))/(LN(2)/25)*Calculateur!BL102*Calculateur!BN102*VLOOKUP('Données projet'!$B$11,Paramètres!$A$1:$I$89,3,0)*0.475*44/12</f>
        <v>2.7223887122039487</v>
      </c>
      <c r="BR102" s="21">
        <f>EXP(-LN(2)/2)*BR101+(1-EXP(-LN(2)/2))/(LN(2)/2)*BL102*BO102*VLOOKUP('Données projet'!$B$11,Paramètres!$A$1:$I$89,3,0)*0.475*44/12</f>
        <v>3.1500050550498081E-10</v>
      </c>
      <c r="BS102" s="22">
        <f t="shared" si="63"/>
        <v>6.1598371109113179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-3.4106051316484809E-13</v>
      </c>
      <c r="O103" s="13">
        <f>N103*VLOOKUP('Données projet'!$B$9,Paramètres!$A$1:$I$89,3,0)*VLOOKUP('Données projet'!$B$9,Paramètres!$A$1:$I$89,5,0)</f>
        <v>-1.9065282685915009E-13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534.78683721545372</v>
      </c>
      <c r="T103" s="59">
        <f t="shared" si="88"/>
        <v>710.59298755711075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1.8831249449477139</v>
      </c>
      <c r="AA103" s="21">
        <f>EXP(-LN(2)/25)*AA102+(1-EXP(-LN(2)/25))/(LN(2)/25)*Calculateur!V103*Calculateur!X103*VLOOKUP('Données projet'!$B$9,Paramètres!$A$1:$I$89,3,0)*0.475*44/12</f>
        <v>2.9257629313874096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4.8088878763351239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-5.6843418860808015E-14</v>
      </c>
      <c r="AJ103" s="13">
        <f>AI103*VLOOKUP('Données projet'!$B$10,Paramètres!$A$1:$I$89,3,0)*VLOOKUP('Données projet'!$B$10,Paramètres!$A$1:$I$89,5,0)</f>
        <v>-3.1036506698001178E-14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207.02306964567629</v>
      </c>
      <c r="AO103" s="59">
        <f t="shared" si="90"/>
        <v>342.06887933351783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4.9235784901867516</v>
      </c>
      <c r="AV103" s="21">
        <f>EXP(-LN(2)/25)*AV102+(1-EXP(-LN(2)/25))/(LN(2)/25)*Calculateur!AQ103*Calculateur!AS103*VLOOKUP('Données projet'!$B$10,Paramètres!$A$1:$I$89,3,0)*0.475*44/12</f>
        <v>6.1733245542499535</v>
      </c>
      <c r="AW103" s="21">
        <f>EXP(-LN(2)/2)*AW102+(1-EXP(-LN(2)/2))/(LN(2)/2)*AQ103*AT103*VLOOKUP('Données projet'!$B$10,Paramètres!$A$1:$I$89,3,0)*0.475*44/12</f>
        <v>3.2587747093625365E-10</v>
      </c>
      <c r="AX103" s="21">
        <f t="shared" si="60"/>
        <v>11.096903044762582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-5.3205440053716299E-14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345.45636360520137</v>
      </c>
      <c r="BJ103" s="59">
        <f t="shared" si="92"/>
        <v>469.30074822262549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3.3700421319363913</v>
      </c>
      <c r="BQ103" s="21">
        <f>EXP(-LN(2)/25)*BQ102+(1-EXP(-LN(2)/25))/(LN(2)/25)*Calculateur!BL103*Calculateur!BN103*VLOOKUP('Données projet'!$B$11,Paramètres!$A$1:$I$89,3,0)*0.475*44/12</f>
        <v>2.6479448497045315</v>
      </c>
      <c r="BR103" s="21">
        <f>EXP(-LN(2)/2)*BR102+(1-EXP(-LN(2)/2))/(LN(2)/2)*BL103*BO103*VLOOKUP('Données projet'!$B$11,Paramètres!$A$1:$I$89,3,0)*0.475*44/12</f>
        <v>2.2273899351976233E-10</v>
      </c>
      <c r="BS103" s="22">
        <f t="shared" si="63"/>
        <v>6.017986981863662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-3.4106051316484809E-13</v>
      </c>
      <c r="O104" s="13">
        <f>N104*VLOOKUP('Données projet'!$B$9,Paramètres!$A$1:$I$89,3,0)*VLOOKUP('Données projet'!$B$9,Paramètres!$A$1:$I$89,5,0)</f>
        <v>-1.9065282685915009E-13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534.78683721545372</v>
      </c>
      <c r="T104" s="59">
        <f t="shared" si="88"/>
        <v>710.59298755711075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1.8461980133700915</v>
      </c>
      <c r="AA104" s="21">
        <f>EXP(-LN(2)/25)*AA103+(1-EXP(-LN(2)/25))/(LN(2)/25)*Calculateur!V104*Calculateur!X104*VLOOKUP('Données projet'!$B$9,Paramètres!$A$1:$I$89,3,0)*0.475*44/12</f>
        <v>2.8457577901694351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4.6919558035395266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-5.6843418860808015E-14</v>
      </c>
      <c r="AJ104" s="13">
        <f>AI104*VLOOKUP('Données projet'!$B$10,Paramètres!$A$1:$I$89,3,0)*VLOOKUP('Données projet'!$B$10,Paramètres!$A$1:$I$89,5,0)</f>
        <v>-3.1036506698001178E-14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207.02306964567629</v>
      </c>
      <c r="AO104" s="59">
        <f t="shared" si="90"/>
        <v>342.06887933351783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4.827030119080538</v>
      </c>
      <c r="AV104" s="21">
        <f>EXP(-LN(2)/25)*AV103+(1-EXP(-LN(2)/25))/(LN(2)/25)*Calculateur!AQ104*Calculateur!AS104*VLOOKUP('Données projet'!$B$10,Paramètres!$A$1:$I$89,3,0)*0.475*44/12</f>
        <v>6.0045146696729592</v>
      </c>
      <c r="AW104" s="21">
        <f>EXP(-LN(2)/2)*AW103+(1-EXP(-LN(2)/2))/(LN(2)/2)*AQ104*AT104*VLOOKUP('Données projet'!$B$10,Paramètres!$A$1:$I$89,3,0)*0.475*44/12</f>
        <v>2.3043016953494702E-10</v>
      </c>
      <c r="AX104" s="21">
        <f t="shared" si="60"/>
        <v>10.831544788983928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-5.3205440053716299E-14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345.45636360520137</v>
      </c>
      <c r="BJ104" s="59">
        <f t="shared" si="92"/>
        <v>469.30074822262549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3.3039576612518533</v>
      </c>
      <c r="BQ104" s="21">
        <f>EXP(-LN(2)/25)*BQ103+(1-EXP(-LN(2)/25))/(LN(2)/25)*Calculateur!BL104*Calculateur!BN104*VLOOKUP('Données projet'!$B$11,Paramètres!$A$1:$I$89,3,0)*0.475*44/12</f>
        <v>2.5755366585399933</v>
      </c>
      <c r="BR104" s="21">
        <f>EXP(-LN(2)/2)*BR103+(1-EXP(-LN(2)/2))/(LN(2)/2)*BL104*BO104*VLOOKUP('Données projet'!$B$11,Paramètres!$A$1:$I$89,3,0)*0.475*44/12</f>
        <v>1.5750025275249041E-10</v>
      </c>
      <c r="BS104" s="22">
        <f t="shared" si="63"/>
        <v>5.8794943199493472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-3.4106051316484809E-13</v>
      </c>
      <c r="O105" s="13">
        <f>N105*VLOOKUP('Données projet'!$B$9,Paramètres!$A$1:$I$89,3,0)*VLOOKUP('Données projet'!$B$9,Paramètres!$A$1:$I$89,5,0)</f>
        <v>-1.9065282685915009E-13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534.78683721545372</v>
      </c>
      <c r="T105" s="59">
        <f t="shared" si="88"/>
        <v>710.59298755711075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1.8099951963975021</v>
      </c>
      <c r="AA105" s="21">
        <f>EXP(-LN(2)/25)*AA104+(1-EXP(-LN(2)/25))/(LN(2)/25)*Calculateur!V105*Calculateur!X105*VLOOKUP('Données projet'!$B$9,Paramètres!$A$1:$I$89,3,0)*0.475*44/12</f>
        <v>2.7679403937453539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4.5779355901428556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-5.6843418860808015E-14</v>
      </c>
      <c r="AJ105" s="13">
        <f>AI105*VLOOKUP('Données projet'!$B$10,Paramètres!$A$1:$I$89,3,0)*VLOOKUP('Données projet'!$B$10,Paramètres!$A$1:$I$89,5,0)</f>
        <v>-3.1036506698001178E-14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207.02306964567629</v>
      </c>
      <c r="AO105" s="59">
        <f t="shared" si="90"/>
        <v>342.06887933351783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4.7323750026430256</v>
      </c>
      <c r="AV105" s="21">
        <f>EXP(-LN(2)/25)*AV104+(1-EXP(-LN(2)/25))/(LN(2)/25)*Calculateur!AQ105*Calculateur!AS105*VLOOKUP('Données projet'!$B$10,Paramètres!$A$1:$I$89,3,0)*0.475*44/12</f>
        <v>5.8403209002670495</v>
      </c>
      <c r="AW105" s="21">
        <f>EXP(-LN(2)/2)*AW104+(1-EXP(-LN(2)/2))/(LN(2)/2)*AQ105*AT105*VLOOKUP('Données projet'!$B$10,Paramètres!$A$1:$I$89,3,0)*0.475*44/12</f>
        <v>1.6293873546812685E-10</v>
      </c>
      <c r="AX105" s="21">
        <f t="shared" si="60"/>
        <v>10.572695903073013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345.45636360520137</v>
      </c>
      <c r="BJ105" s="59">
        <f t="shared" si="92"/>
        <v>469.30074822262549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3.2391690667298918</v>
      </c>
      <c r="BQ105" s="21">
        <f>EXP(-LN(2)/25)*BQ104+(1-EXP(-LN(2)/25))/(LN(2)/25)*Calculateur!BL105*Calculateur!BN105*VLOOKUP('Données projet'!$B$11,Paramètres!$A$1:$I$89,3,0)*0.475*44/12</f>
        <v>2.5051084731706306</v>
      </c>
      <c r="BR105" s="21">
        <f>EXP(-LN(2)/2)*BR104+(1-EXP(-LN(2)/2))/(LN(2)/2)*BL105*BO105*VLOOKUP('Données projet'!$B$11,Paramètres!$A$1:$I$89,3,0)*0.475*44/12</f>
        <v>1.1136949675988116E-10</v>
      </c>
      <c r="BS105" s="22">
        <f t="shared" si="63"/>
        <v>5.7442775400118924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-3.4106051316484809E-13</v>
      </c>
      <c r="O106" s="13">
        <f>N106*VLOOKUP('Données projet'!$B$9,Paramètres!$A$1:$I$89,3,0)*VLOOKUP('Données projet'!$B$9,Paramètres!$A$1:$I$89,5,0)</f>
        <v>-1.9065282685915009E-13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534.78683721545372</v>
      </c>
      <c r="T106" s="59">
        <f t="shared" si="88"/>
        <v>710.59298755711075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1.7745022945842071</v>
      </c>
      <c r="AA106" s="21">
        <f>EXP(-LN(2)/25)*AA105+(1-EXP(-LN(2)/25))/(LN(2)/25)*Calculateur!V106*Calculateur!X106*VLOOKUP('Données projet'!$B$9,Paramètres!$A$1:$I$89,3,0)*0.475*44/12</f>
        <v>2.6922509181187282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4.466753212702935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-5.6843418860808015E-14</v>
      </c>
      <c r="AJ106" s="13">
        <f>AI106*VLOOKUP('Données projet'!$B$10,Paramètres!$A$1:$I$89,3,0)*VLOOKUP('Données projet'!$B$10,Paramètres!$A$1:$I$89,5,0)</f>
        <v>-3.1036506698001178E-14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207.02306964567629</v>
      </c>
      <c r="AO106" s="59">
        <f t="shared" si="90"/>
        <v>342.06887933351783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4.6395760153049332</v>
      </c>
      <c r="AV106" s="21">
        <f>EXP(-LN(2)/25)*AV105+(1-EXP(-LN(2)/25))/(LN(2)/25)*Calculateur!AQ106*Calculateur!AS106*VLOOKUP('Données projet'!$B$10,Paramètres!$A$1:$I$89,3,0)*0.475*44/12</f>
        <v>5.6806170181201194</v>
      </c>
      <c r="AW106" s="21">
        <f>EXP(-LN(2)/2)*AW105+(1-EXP(-LN(2)/2))/(LN(2)/2)*AQ106*AT106*VLOOKUP('Données projet'!$B$10,Paramètres!$A$1:$I$89,3,0)*0.475*44/12</f>
        <v>1.1521508476747354E-10</v>
      </c>
      <c r="AX106" s="21">
        <f t="shared" si="60"/>
        <v>10.320193033540267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345.45636360520137</v>
      </c>
      <c r="BJ106" s="59">
        <f t="shared" si="92"/>
        <v>469.30074822262549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3.1756509370293653</v>
      </c>
      <c r="BQ106" s="21">
        <f>EXP(-LN(2)/25)*BQ105+(1-EXP(-LN(2)/25))/(LN(2)/25)*Calculateur!BL106*Calculateur!BN106*VLOOKUP('Données projet'!$B$11,Paramètres!$A$1:$I$89,3,0)*0.475*44/12</f>
        <v>2.4366061502338505</v>
      </c>
      <c r="BR106" s="21">
        <f>EXP(-LN(2)/2)*BR105+(1-EXP(-LN(2)/2))/(LN(2)/2)*BL106*BO106*VLOOKUP('Données projet'!$B$11,Paramètres!$A$1:$I$89,3,0)*0.475*44/12</f>
        <v>7.8750126376245203E-11</v>
      </c>
      <c r="BS106" s="22">
        <f t="shared" si="63"/>
        <v>5.6122570873419662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-3.4106051316484809E-13</v>
      </c>
      <c r="O107" s="13">
        <f>N107*VLOOKUP('Données projet'!$B$9,Paramètres!$A$1:$I$89,3,0)*VLOOKUP('Données projet'!$B$9,Paramètres!$A$1:$I$89,5,0)</f>
        <v>-1.9065282685915009E-13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534.78683721545372</v>
      </c>
      <c r="T107" s="59">
        <f t="shared" si="88"/>
        <v>710.59298755711075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1.7397053869269383</v>
      </c>
      <c r="AA107" s="21">
        <f>EXP(-LN(2)/25)*AA106+(1-EXP(-LN(2)/25))/(LN(2)/25)*Calculateur!V107*Calculateur!X107*VLOOKUP('Données projet'!$B$9,Paramètres!$A$1:$I$89,3,0)*0.475*44/12</f>
        <v>2.6186311751834488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4.3583365621103871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-5.6843418860808015E-14</v>
      </c>
      <c r="AJ107" s="13">
        <f>AI107*VLOOKUP('Données projet'!$B$10,Paramètres!$A$1:$I$89,3,0)*VLOOKUP('Données projet'!$B$10,Paramètres!$A$1:$I$89,5,0)</f>
        <v>-3.1036506698001178E-14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207.02306964567629</v>
      </c>
      <c r="AO107" s="59">
        <f t="shared" si="90"/>
        <v>342.06887933351783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4.5485967595067471</v>
      </c>
      <c r="AV107" s="21">
        <f>EXP(-LN(2)/25)*AV106+(1-EXP(-LN(2)/25))/(LN(2)/25)*Calculateur!AQ107*Calculateur!AS107*VLOOKUP('Données projet'!$B$10,Paramètres!$A$1:$I$89,3,0)*0.475*44/12</f>
        <v>5.5252802470289586</v>
      </c>
      <c r="AW107" s="21">
        <f>EXP(-LN(2)/2)*AW106+(1-EXP(-LN(2)/2))/(LN(2)/2)*AQ107*AT107*VLOOKUP('Données projet'!$B$10,Paramètres!$A$1:$I$89,3,0)*0.475*44/12</f>
        <v>8.1469367734063437E-11</v>
      </c>
      <c r="AX107" s="21">
        <f t="shared" si="60"/>
        <v>10.073877006617176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345.45636360520137</v>
      </c>
      <c r="BJ107" s="59">
        <f t="shared" si="92"/>
        <v>469.30074822262549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3.1133783591100324</v>
      </c>
      <c r="BQ107" s="21">
        <f>EXP(-LN(2)/25)*BQ106+(1-EXP(-LN(2)/25))/(LN(2)/25)*Calculateur!BL107*Calculateur!BN107*VLOOKUP('Données projet'!$B$11,Paramètres!$A$1:$I$89,3,0)*0.475*44/12</f>
        <v>2.3699770269201572</v>
      </c>
      <c r="BR107" s="21">
        <f>EXP(-LN(2)/2)*BR106+(1-EXP(-LN(2)/2))/(LN(2)/2)*BL107*BO107*VLOOKUP('Données projet'!$B$11,Paramètres!$A$1:$I$89,3,0)*0.475*44/12</f>
        <v>5.5684748379940582E-11</v>
      </c>
      <c r="BS107" s="22">
        <f t="shared" si="63"/>
        <v>5.4833553860858739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-3.4106051316484809E-13</v>
      </c>
      <c r="O108" s="13">
        <f>N108*VLOOKUP('Données projet'!$B$9,Paramètres!$A$1:$I$89,3,0)*VLOOKUP('Données projet'!$B$9,Paramètres!$A$1:$I$89,5,0)</f>
        <v>-1.9065282685915009E-13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534.78683721545372</v>
      </c>
      <c r="T108" s="59">
        <f t="shared" si="88"/>
        <v>710.59298755711075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1.7055908254048107</v>
      </c>
      <c r="AA108" s="21">
        <f>EXP(-LN(2)/25)*AA107+(1-EXP(-LN(2)/25))/(LN(2)/25)*Calculateur!V108*Calculateur!X108*VLOOKUP('Données projet'!$B$9,Paramètres!$A$1:$I$89,3,0)*0.475*44/12</f>
        <v>2.547024567990229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4.2526153933950397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-5.6843418860808015E-14</v>
      </c>
      <c r="AJ108" s="13">
        <f>AI108*VLOOKUP('Données projet'!$B$10,Paramètres!$A$1:$I$89,3,0)*VLOOKUP('Données projet'!$B$10,Paramètres!$A$1:$I$89,5,0)</f>
        <v>-3.1036506698001178E-14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207.02306964567629</v>
      </c>
      <c r="AO108" s="59">
        <f t="shared" si="90"/>
        <v>342.06887933351783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4.4594015514228964</v>
      </c>
      <c r="AV108" s="21">
        <f>EXP(-LN(2)/25)*AV107+(1-EXP(-LN(2)/25))/(LN(2)/25)*Calculateur!AQ108*Calculateur!AS108*VLOOKUP('Données projet'!$B$10,Paramètres!$A$1:$I$89,3,0)*0.475*44/12</f>
        <v>5.374191168112092</v>
      </c>
      <c r="AW108" s="21">
        <f>EXP(-LN(2)/2)*AW107+(1-EXP(-LN(2)/2))/(LN(2)/2)*AQ108*AT108*VLOOKUP('Données projet'!$B$10,Paramètres!$A$1:$I$89,3,0)*0.475*44/12</f>
        <v>5.7607542383736775E-11</v>
      </c>
      <c r="AX108" s="21">
        <f t="shared" si="60"/>
        <v>9.8335927195925947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345.45636360520137</v>
      </c>
      <c r="BJ108" s="59">
        <f t="shared" si="92"/>
        <v>469.30074822262549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3.0523269084611755</v>
      </c>
      <c r="BQ108" s="21">
        <f>EXP(-LN(2)/25)*BQ107+(1-EXP(-LN(2)/25))/(LN(2)/25)*Calculateur!BL108*Calculateur!BN108*VLOOKUP('Données projet'!$B$11,Paramètres!$A$1:$I$89,3,0)*0.475*44/12</f>
        <v>2.3051698804873504</v>
      </c>
      <c r="BR108" s="21">
        <f>EXP(-LN(2)/2)*BR107+(1-EXP(-LN(2)/2))/(LN(2)/2)*BL108*BO108*VLOOKUP('Données projet'!$B$11,Paramètres!$A$1:$I$89,3,0)*0.475*44/12</f>
        <v>3.9375063188122602E-11</v>
      </c>
      <c r="BS108" s="22">
        <f t="shared" si="63"/>
        <v>5.3574967889879002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-3.4106051316484809E-13</v>
      </c>
      <c r="O109" s="13">
        <f>N109*VLOOKUP('Données projet'!$B$9,Paramètres!$A$1:$I$89,3,0)*VLOOKUP('Données projet'!$B$9,Paramètres!$A$1:$I$89,5,0)</f>
        <v>-1.9065282685915009E-13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534.78683721545372</v>
      </c>
      <c r="T109" s="59">
        <f t="shared" si="88"/>
        <v>710.59298755711075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1.672145229626304</v>
      </c>
      <c r="AA109" s="21">
        <f>EXP(-LN(2)/25)*AA108+(1-EXP(-LN(2)/25))/(LN(2)/25)*Calculateur!V109*Calculateur!X109*VLOOKUP('Données projet'!$B$9,Paramètres!$A$1:$I$89,3,0)*0.475*44/12</f>
        <v>2.4773760472363353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4.1495212768626395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-5.6843418860808015E-14</v>
      </c>
      <c r="AJ109" s="13">
        <f>AI109*VLOOKUP('Données projet'!$B$10,Paramètres!$A$1:$I$89,3,0)*VLOOKUP('Données projet'!$B$10,Paramètres!$A$1:$I$89,5,0)</f>
        <v>-3.1036506698001178E-14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207.02306964567629</v>
      </c>
      <c r="AO109" s="59">
        <f t="shared" si="90"/>
        <v>342.06887933351783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4.3719554069658653</v>
      </c>
      <c r="AV109" s="21">
        <f>EXP(-LN(2)/25)*AV108+(1-EXP(-LN(2)/25))/(LN(2)/25)*Calculateur!AQ109*Calculateur!AS109*VLOOKUP('Données projet'!$B$10,Paramètres!$A$1:$I$89,3,0)*0.475*44/12</f>
        <v>5.2272336280036358</v>
      </c>
      <c r="AW109" s="21">
        <f>EXP(-LN(2)/2)*AW108+(1-EXP(-LN(2)/2))/(LN(2)/2)*AQ109*AT109*VLOOKUP('Données projet'!$B$10,Paramètres!$A$1:$I$89,3,0)*0.475*44/12</f>
        <v>4.0734683867031725E-11</v>
      </c>
      <c r="AX109" s="21">
        <f t="shared" si="60"/>
        <v>9.5991890350102373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345.45636360520137</v>
      </c>
      <c r="BJ109" s="59">
        <f t="shared" si="92"/>
        <v>469.30074822262549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2.9924726395218348</v>
      </c>
      <c r="BQ109" s="21">
        <f>EXP(-LN(2)/25)*BQ108+(1-EXP(-LN(2)/25))/(LN(2)/25)*Calculateur!BL109*Calculateur!BN109*VLOOKUP('Données projet'!$B$11,Paramètres!$A$1:$I$89,3,0)*0.475*44/12</f>
        <v>2.2421348888818082</v>
      </c>
      <c r="BR109" s="21">
        <f>EXP(-LN(2)/2)*BR108+(1-EXP(-LN(2)/2))/(LN(2)/2)*BL109*BO109*VLOOKUP('Données projet'!$B$11,Paramètres!$A$1:$I$89,3,0)*0.475*44/12</f>
        <v>2.7842374189970291E-11</v>
      </c>
      <c r="BS109" s="22">
        <f t="shared" si="63"/>
        <v>5.2346075284314857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-3.4106051316484809E-13</v>
      </c>
      <c r="O110" s="13">
        <f>N110*VLOOKUP('Données projet'!$B$9,Paramètres!$A$1:$I$89,3,0)*VLOOKUP('Données projet'!$B$9,Paramètres!$A$1:$I$89,5,0)</f>
        <v>-1.9065282685915009E-13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534.78683721545372</v>
      </c>
      <c r="T110" s="59">
        <f t="shared" si="88"/>
        <v>710.59298755711075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1.6393554815812146</v>
      </c>
      <c r="AA110" s="21">
        <f>EXP(-LN(2)/25)*AA109+(1-EXP(-LN(2)/25))/(LN(2)/25)*Calculateur!V110*Calculateur!X110*VLOOKUP('Données projet'!$B$9,Paramètres!$A$1:$I$89,3,0)*0.475*44/12</f>
        <v>2.4096320689451134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4.048987550526328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-5.6843418860808015E-14</v>
      </c>
      <c r="AJ110" s="13">
        <f>AI110*VLOOKUP('Données projet'!$B$10,Paramètres!$A$1:$I$89,3,0)*VLOOKUP('Données projet'!$B$10,Paramètres!$A$1:$I$89,5,0)</f>
        <v>-3.1036506698001178E-14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207.02306964567629</v>
      </c>
      <c r="AO110" s="59">
        <f t="shared" si="90"/>
        <v>342.06887933351783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4.2862240280647548</v>
      </c>
      <c r="AV110" s="21">
        <f>EXP(-LN(2)/25)*AV109+(1-EXP(-LN(2)/25))/(LN(2)/25)*Calculateur!AQ110*Calculateur!AS110*VLOOKUP('Données projet'!$B$10,Paramètres!$A$1:$I$89,3,0)*0.475*44/12</f>
        <v>5.0842946495576067</v>
      </c>
      <c r="AW110" s="21">
        <f>EXP(-LN(2)/2)*AW109+(1-EXP(-LN(2)/2))/(LN(2)/2)*AQ110*AT110*VLOOKUP('Données projet'!$B$10,Paramètres!$A$1:$I$89,3,0)*0.475*44/12</f>
        <v>2.8803771191868391E-11</v>
      </c>
      <c r="AX110" s="21">
        <f t="shared" si="60"/>
        <v>9.3705186776511642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345.45636360520137</v>
      </c>
      <c r="BJ110" s="59">
        <f t="shared" si="92"/>
        <v>469.30074822262549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2.9337920762888956</v>
      </c>
      <c r="BQ110" s="21">
        <f>EXP(-LN(2)/25)*BQ109+(1-EXP(-LN(2)/25))/(LN(2)/25)*Calculateur!BL110*Calculateur!BN110*VLOOKUP('Données projet'!$B$11,Paramètres!$A$1:$I$89,3,0)*0.475*44/12</f>
        <v>2.1808235924365857</v>
      </c>
      <c r="BR110" s="21">
        <f>EXP(-LN(2)/2)*BR109+(1-EXP(-LN(2)/2))/(LN(2)/2)*BL110*BO110*VLOOKUP('Données projet'!$B$11,Paramètres!$A$1:$I$89,3,0)*0.475*44/12</f>
        <v>1.9687531594061301E-11</v>
      </c>
      <c r="BS110" s="22">
        <f t="shared" si="63"/>
        <v>5.1146156687451683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-3.4106051316484809E-13</v>
      </c>
      <c r="O111" s="13">
        <f>N111*VLOOKUP('Données projet'!$B$9,Paramètres!$A$1:$I$89,3,0)*VLOOKUP('Données projet'!$B$9,Paramètres!$A$1:$I$89,5,0)</f>
        <v>-1.9065282685915009E-13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534.78683721545372</v>
      </c>
      <c r="T111" s="59">
        <f t="shared" si="88"/>
        <v>710.59298755711075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1.6072087204955181</v>
      </c>
      <c r="AA111" s="21">
        <f>EXP(-LN(2)/25)*AA110+(1-EXP(-LN(2)/25))/(LN(2)/25)*Calculateur!V111*Calculateur!X111*VLOOKUP('Données projet'!$B$9,Paramètres!$A$1:$I$89,3,0)*0.475*44/12</f>
        <v>2.3437405533027662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3.9509492737982841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-5.6843418860808015E-14</v>
      </c>
      <c r="AJ111" s="13">
        <f>AI111*VLOOKUP('Données projet'!$B$10,Paramètres!$A$1:$I$89,3,0)*VLOOKUP('Données projet'!$B$10,Paramètres!$A$1:$I$89,5,0)</f>
        <v>-3.1036506698001178E-14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207.02306964567629</v>
      </c>
      <c r="AO111" s="59">
        <f t="shared" si="90"/>
        <v>342.06887933351783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4.2021737892129174</v>
      </c>
      <c r="AV111" s="21">
        <f>EXP(-LN(2)/25)*AV110+(1-EXP(-LN(2)/25))/(LN(2)/25)*Calculateur!AQ111*Calculateur!AS111*VLOOKUP('Données projet'!$B$10,Paramètres!$A$1:$I$89,3,0)*0.475*44/12</f>
        <v>4.945264344994019</v>
      </c>
      <c r="AW111" s="21">
        <f>EXP(-LN(2)/2)*AW110+(1-EXP(-LN(2)/2))/(LN(2)/2)*AQ111*AT111*VLOOKUP('Données projet'!$B$10,Paramètres!$A$1:$I$89,3,0)*0.475*44/12</f>
        <v>2.0367341933515866E-11</v>
      </c>
      <c r="AX111" s="21">
        <f t="shared" si="60"/>
        <v>9.1474381342273041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345.45636360520137</v>
      </c>
      <c r="BJ111" s="59">
        <f t="shared" si="92"/>
        <v>469.30074822262549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2.8762622031093446</v>
      </c>
      <c r="BQ111" s="21">
        <f>EXP(-LN(2)/25)*BQ110+(1-EXP(-LN(2)/25))/(LN(2)/25)*Calculateur!BL111*Calculateur!BN111*VLOOKUP('Données projet'!$B$11,Paramètres!$A$1:$I$89,3,0)*0.475*44/12</f>
        <v>2.1211888566168788</v>
      </c>
      <c r="BR111" s="21">
        <f>EXP(-LN(2)/2)*BR110+(1-EXP(-LN(2)/2))/(LN(2)/2)*BL111*BO111*VLOOKUP('Données projet'!$B$11,Paramètres!$A$1:$I$89,3,0)*0.475*44/12</f>
        <v>1.3921187094985146E-11</v>
      </c>
      <c r="BS111" s="22">
        <f t="shared" si="63"/>
        <v>4.9974510597401451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-3.4106051316484809E-13</v>
      </c>
      <c r="O112" s="13">
        <f>N112*VLOOKUP('Données projet'!$B$9,Paramètres!$A$1:$I$89,3,0)*VLOOKUP('Données projet'!$B$9,Paramètres!$A$1:$I$89,5,0)</f>
        <v>-1.9065282685915009E-13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534.78683721545372</v>
      </c>
      <c r="T112" s="59">
        <f t="shared" si="88"/>
        <v>710.59298755711075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1.5756923377871239</v>
      </c>
      <c r="AA112" s="21">
        <f>EXP(-LN(2)/25)*AA111+(1-EXP(-LN(2)/25))/(LN(2)/25)*Calculateur!V112*Calculateur!X112*VLOOKUP('Données projet'!$B$9,Paramètres!$A$1:$I$89,3,0)*0.475*44/12</f>
        <v>2.2796508446207429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3.855343182407867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-5.6843418860808015E-14</v>
      </c>
      <c r="AJ112" s="13">
        <f>AI112*VLOOKUP('Données projet'!$B$10,Paramètres!$A$1:$I$89,3,0)*VLOOKUP('Données projet'!$B$10,Paramètres!$A$1:$I$89,5,0)</f>
        <v>-3.1036506698001178E-14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207.02306964567629</v>
      </c>
      <c r="AO112" s="59">
        <f t="shared" si="90"/>
        <v>342.06887933351783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4.1197717242793814</v>
      </c>
      <c r="AV112" s="21">
        <f>EXP(-LN(2)/25)*AV111+(1-EXP(-LN(2)/25))/(LN(2)/25)*Calculateur!AQ112*Calculateur!AS112*VLOOKUP('Données projet'!$B$10,Paramètres!$A$1:$I$89,3,0)*0.475*44/12</f>
        <v>4.8100358314200085</v>
      </c>
      <c r="AW112" s="21">
        <f>EXP(-LN(2)/2)*AW111+(1-EXP(-LN(2)/2))/(LN(2)/2)*AQ112*AT112*VLOOKUP('Données projet'!$B$10,Paramètres!$A$1:$I$89,3,0)*0.475*44/12</f>
        <v>1.4401885595934198E-11</v>
      </c>
      <c r="AX112" s="21">
        <f t="shared" si="60"/>
        <v>8.9298075557137935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345.45636360520137</v>
      </c>
      <c r="BJ112" s="59">
        <f t="shared" si="92"/>
        <v>469.30074822262549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2.8198604556530871</v>
      </c>
      <c r="BQ112" s="21">
        <f>EXP(-LN(2)/25)*BQ111+(1-EXP(-LN(2)/25))/(LN(2)/25)*Calculateur!BL112*Calculateur!BN112*VLOOKUP('Données projet'!$B$11,Paramètres!$A$1:$I$89,3,0)*0.475*44/12</f>
        <v>2.0631848357842162</v>
      </c>
      <c r="BR112" s="21">
        <f>EXP(-LN(2)/2)*BR111+(1-EXP(-LN(2)/2))/(LN(2)/2)*BL112*BO112*VLOOKUP('Données projet'!$B$11,Paramètres!$A$1:$I$89,3,0)*0.475*44/12</f>
        <v>9.8437657970306504E-12</v>
      </c>
      <c r="BS112" s="22">
        <f t="shared" si="63"/>
        <v>4.8830452914471474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-3.4106051316484809E-13</v>
      </c>
      <c r="O113" s="13">
        <f>N113*VLOOKUP('Données projet'!$B$9,Paramètres!$A$1:$I$89,3,0)*VLOOKUP('Données projet'!$B$9,Paramètres!$A$1:$I$89,5,0)</f>
        <v>-1.9065282685915009E-13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534.78683721545372</v>
      </c>
      <c r="T113" s="59">
        <f t="shared" si="88"/>
        <v>710.59298755711075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1.5447939721205459</v>
      </c>
      <c r="AA113" s="21">
        <f>EXP(-LN(2)/25)*AA112+(1-EXP(-LN(2)/25))/(LN(2)/25)*Calculateur!V113*Calculateur!X113*VLOOKUP('Données projet'!$B$9,Paramètres!$A$1:$I$89,3,0)*0.475*44/12</f>
        <v>2.2173136723929607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3.7621076445135069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-5.6843418860808015E-14</v>
      </c>
      <c r="AJ113" s="13">
        <f>AI113*VLOOKUP('Données projet'!$B$10,Paramètres!$A$1:$I$89,3,0)*VLOOKUP('Données projet'!$B$10,Paramètres!$A$1:$I$89,5,0)</f>
        <v>-3.1036506698001178E-14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207.02306964567629</v>
      </c>
      <c r="AO113" s="59">
        <f t="shared" si="90"/>
        <v>342.06887933351783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4.0389855135788952</v>
      </c>
      <c r="AV113" s="21">
        <f>EXP(-LN(2)/25)*AV112+(1-EXP(-LN(2)/25))/(LN(2)/25)*Calculateur!AQ113*Calculateur!AS113*VLOOKUP('Données projet'!$B$10,Paramètres!$A$1:$I$89,3,0)*0.475*44/12</f>
        <v>4.6785051486610376</v>
      </c>
      <c r="AW113" s="21">
        <f>EXP(-LN(2)/2)*AW112+(1-EXP(-LN(2)/2))/(LN(2)/2)*AQ113*AT113*VLOOKUP('Données projet'!$B$10,Paramètres!$A$1:$I$89,3,0)*0.475*44/12</f>
        <v>1.0183670966757935E-11</v>
      </c>
      <c r="AX113" s="21">
        <f t="shared" si="60"/>
        <v>8.7174906622501158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345.45636360520137</v>
      </c>
      <c r="BJ113" s="59">
        <f t="shared" si="92"/>
        <v>469.30074822262549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2.7645647120627777</v>
      </c>
      <c r="BQ113" s="21">
        <f>EXP(-LN(2)/25)*BQ112+(1-EXP(-LN(2)/25))/(LN(2)/25)*Calculateur!BL113*Calculateur!BN113*VLOOKUP('Données projet'!$B$11,Paramètres!$A$1:$I$89,3,0)*0.475*44/12</f>
        <v>2.0067669379515216</v>
      </c>
      <c r="BR113" s="21">
        <f>EXP(-LN(2)/2)*BR112+(1-EXP(-LN(2)/2))/(LN(2)/2)*BL113*BO113*VLOOKUP('Données projet'!$B$11,Paramètres!$A$1:$I$89,3,0)*0.475*44/12</f>
        <v>6.9605935474925728E-12</v>
      </c>
      <c r="BS113" s="22">
        <f t="shared" si="63"/>
        <v>4.7713316500212599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-3.4106051316484809E-13</v>
      </c>
      <c r="O114" s="13">
        <f>N114*VLOOKUP('Données projet'!$B$9,Paramètres!$A$1:$I$89,3,0)*VLOOKUP('Données projet'!$B$9,Paramètres!$A$1:$I$89,5,0)</f>
        <v>-1.9065282685915009E-13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534.78683721545372</v>
      </c>
      <c r="T114" s="59">
        <f t="shared" si="88"/>
        <v>710.59298755711075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1.5145015045585475</v>
      </c>
      <c r="AA114" s="21">
        <f>EXP(-LN(2)/25)*AA113+(1-EXP(-LN(2)/25))/(LN(2)/25)*Calculateur!V114*Calculateur!X114*VLOOKUP('Données projet'!$B$9,Paramètres!$A$1:$I$89,3,0)*0.475*44/12</f>
        <v>2.1566811134179171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3.6711826179764646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-5.6843418860808015E-14</v>
      </c>
      <c r="AJ114" s="13">
        <f>AI114*VLOOKUP('Données projet'!$B$10,Paramètres!$A$1:$I$89,3,0)*VLOOKUP('Données projet'!$B$10,Paramètres!$A$1:$I$89,5,0)</f>
        <v>-3.1036506698001178E-14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207.02306964567629</v>
      </c>
      <c r="AO114" s="59">
        <f t="shared" si="90"/>
        <v>342.06887933351783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3.9597834711955224</v>
      </c>
      <c r="AV114" s="21">
        <f>EXP(-LN(2)/25)*AV113+(1-EXP(-LN(2)/25))/(LN(2)/25)*Calculateur!AQ114*Calculateur!AS114*VLOOKUP('Données projet'!$B$10,Paramètres!$A$1:$I$89,3,0)*0.475*44/12</f>
        <v>4.5505711793390082</v>
      </c>
      <c r="AW114" s="21">
        <f>EXP(-LN(2)/2)*AW113+(1-EXP(-LN(2)/2))/(LN(2)/2)*AQ114*AT114*VLOOKUP('Données projet'!$B$10,Paramètres!$A$1:$I$89,3,0)*0.475*44/12</f>
        <v>7.2009427979671001E-12</v>
      </c>
      <c r="AX114" s="21">
        <f t="shared" si="60"/>
        <v>8.510354650541732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345.45636360520137</v>
      </c>
      <c r="BJ114" s="59">
        <f t="shared" si="92"/>
        <v>469.30074822262549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2.7103532842772009</v>
      </c>
      <c r="BQ114" s="21">
        <f>EXP(-LN(2)/25)*BQ113+(1-EXP(-LN(2)/25))/(LN(2)/25)*Calculateur!BL114*Calculateur!BN114*VLOOKUP('Données projet'!$B$11,Paramètres!$A$1:$I$89,3,0)*0.475*44/12</f>
        <v>1.9518917905019506</v>
      </c>
      <c r="BR114" s="21">
        <f>EXP(-LN(2)/2)*BR113+(1-EXP(-LN(2)/2))/(LN(2)/2)*BL114*BO114*VLOOKUP('Données projet'!$B$11,Paramètres!$A$1:$I$89,3,0)*0.475*44/12</f>
        <v>4.9218828985153252E-12</v>
      </c>
      <c r="BS114" s="22">
        <f t="shared" si="63"/>
        <v>4.6622450747840736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-3.4106051316484809E-13</v>
      </c>
      <c r="O115" s="13">
        <f>N115*VLOOKUP('Données projet'!$B$9,Paramètres!$A$1:$I$89,3,0)*VLOOKUP('Données projet'!$B$9,Paramètres!$A$1:$I$89,5,0)</f>
        <v>-1.9065282685915009E-13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534.78683721545372</v>
      </c>
      <c r="T115" s="59">
        <f t="shared" si="88"/>
        <v>710.59298755711075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1.484803053808859</v>
      </c>
      <c r="AA115" s="21">
        <f>EXP(-LN(2)/25)*AA114+(1-EXP(-LN(2)/25))/(LN(2)/25)*Calculateur!V115*Calculateur!X115*VLOOKUP('Données projet'!$B$9,Paramètres!$A$1:$I$89,3,0)*0.475*44/12</f>
        <v>2.0977065549565737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3.5825096087654327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-5.6843418860808015E-14</v>
      </c>
      <c r="AJ115" s="13">
        <f>AI115*VLOOKUP('Données projet'!$B$10,Paramètres!$A$1:$I$89,3,0)*VLOOKUP('Données projet'!$B$10,Paramètres!$A$1:$I$89,5,0)</f>
        <v>-3.1036506698001178E-14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207.02306964567629</v>
      </c>
      <c r="AO115" s="59">
        <f t="shared" si="90"/>
        <v>342.06887933351783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3.8821345325548116</v>
      </c>
      <c r="AV115" s="21">
        <f>EXP(-LN(2)/25)*AV114+(1-EXP(-LN(2)/25))/(LN(2)/25)*Calculateur!AQ115*Calculateur!AS115*VLOOKUP('Données projet'!$B$10,Paramètres!$A$1:$I$89,3,0)*0.475*44/12</f>
        <v>4.4261355711358448</v>
      </c>
      <c r="AW115" s="21">
        <f>EXP(-LN(2)/2)*AW114+(1-EXP(-LN(2)/2))/(LN(2)/2)*AQ115*AT115*VLOOKUP('Données projet'!$B$10,Paramètres!$A$1:$I$89,3,0)*0.475*44/12</f>
        <v>5.0918354833789681E-12</v>
      </c>
      <c r="AX115" s="21">
        <f t="shared" si="60"/>
        <v>8.3082701036957474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345.45636360520137</v>
      </c>
      <c r="BJ115" s="59">
        <f t="shared" si="92"/>
        <v>469.30074822262549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2.6572049095247934</v>
      </c>
      <c r="BQ115" s="21">
        <f>EXP(-LN(2)/25)*BQ114+(1-EXP(-LN(2)/25))/(LN(2)/25)*Calculateur!BL115*Calculateur!BN115*VLOOKUP('Données projet'!$B$11,Paramètres!$A$1:$I$89,3,0)*0.475*44/12</f>
        <v>1.8985172068451466</v>
      </c>
      <c r="BR115" s="21">
        <f>EXP(-LN(2)/2)*BR114+(1-EXP(-LN(2)/2))/(LN(2)/2)*BL115*BO115*VLOOKUP('Données projet'!$B$11,Paramètres!$A$1:$I$89,3,0)*0.475*44/12</f>
        <v>3.4802967737462864E-12</v>
      </c>
      <c r="BS115" s="22">
        <f t="shared" si="63"/>
        <v>4.5557221163734196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-3.4106051316484809E-13</v>
      </c>
      <c r="O116" s="13">
        <f>N116*VLOOKUP('Données projet'!$B$9,Paramètres!$A$1:$I$89,3,0)*VLOOKUP('Données projet'!$B$9,Paramètres!$A$1:$I$89,5,0)</f>
        <v>-1.9065282685915009E-13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534.78683721545372</v>
      </c>
      <c r="T116" s="59">
        <f t="shared" si="88"/>
        <v>710.59298755711075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1.4556869715641056</v>
      </c>
      <c r="AA116" s="21">
        <f>EXP(-LN(2)/25)*AA115+(1-EXP(-LN(2)/25))/(LN(2)/25)*Calculateur!V116*Calculateur!X116*VLOOKUP('Données projet'!$B$9,Paramètres!$A$1:$I$89,3,0)*0.475*44/12</f>
        <v>2.040344658897693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3.4960316304617987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-5.6843418860808015E-14</v>
      </c>
      <c r="AJ116" s="13">
        <f>AI116*VLOOKUP('Données projet'!$B$10,Paramètres!$A$1:$I$89,3,0)*VLOOKUP('Données projet'!$B$10,Paramètres!$A$1:$I$89,5,0)</f>
        <v>-3.1036506698001178E-14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207.02306964567629</v>
      </c>
      <c r="AO116" s="59">
        <f t="shared" si="90"/>
        <v>342.06887933351783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3.806008242239669</v>
      </c>
      <c r="AV116" s="21">
        <f>EXP(-LN(2)/25)*AV115+(1-EXP(-LN(2)/25))/(LN(2)/25)*Calculateur!AQ116*Calculateur!AS116*VLOOKUP('Données projet'!$B$10,Paramètres!$A$1:$I$89,3,0)*0.475*44/12</f>
        <v>4.3051026611827812</v>
      </c>
      <c r="AW116" s="21">
        <f>EXP(-LN(2)/2)*AW115+(1-EXP(-LN(2)/2))/(LN(2)/2)*AQ116*AT116*VLOOKUP('Données projet'!$B$10,Paramètres!$A$1:$I$89,3,0)*0.475*44/12</f>
        <v>3.6004713989835508E-12</v>
      </c>
      <c r="AX116" s="21">
        <f t="shared" si="60"/>
        <v>8.1111109034260505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345.45636360520137</v>
      </c>
      <c r="BJ116" s="59">
        <f t="shared" si="92"/>
        <v>469.30074822262549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2.6050987419839728</v>
      </c>
      <c r="BQ116" s="21">
        <f>EXP(-LN(2)/25)*BQ115+(1-EXP(-LN(2)/25))/(LN(2)/25)*Calculateur!BL116*Calculateur!BN116*VLOOKUP('Données projet'!$B$11,Paramètres!$A$1:$I$89,3,0)*0.475*44/12</f>
        <v>1.8466021539852853</v>
      </c>
      <c r="BR116" s="21">
        <f>EXP(-LN(2)/2)*BR115+(1-EXP(-LN(2)/2))/(LN(2)/2)*BL116*BO116*VLOOKUP('Données projet'!$B$11,Paramètres!$A$1:$I$89,3,0)*0.475*44/12</f>
        <v>2.4609414492576626E-12</v>
      </c>
      <c r="BS116" s="22">
        <f t="shared" si="63"/>
        <v>4.4517008959717197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-3.4106051316484809E-13</v>
      </c>
      <c r="O117" s="13">
        <f>N117*VLOOKUP('Données projet'!$B$9,Paramètres!$A$1:$I$89,3,0)*VLOOKUP('Données projet'!$B$9,Paramètres!$A$1:$I$89,5,0)</f>
        <v>-1.9065282685915009E-13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534.78683721545372</v>
      </c>
      <c r="T117" s="59">
        <f t="shared" si="88"/>
        <v>710.59298755711075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1.4271418379331151</v>
      </c>
      <c r="AA117" s="21">
        <f>EXP(-LN(2)/25)*AA116+(1-EXP(-LN(2)/25))/(LN(2)/25)*Calculateur!V117*Calculateur!X117*VLOOKUP('Données projet'!$B$9,Paramètres!$A$1:$I$89,3,0)*0.475*44/12</f>
        <v>1.9845513269030732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3.4116931648361883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-5.6843418860808015E-14</v>
      </c>
      <c r="AJ117" s="13">
        <f>AI117*VLOOKUP('Données projet'!$B$10,Paramètres!$A$1:$I$89,3,0)*VLOOKUP('Données projet'!$B$10,Paramètres!$A$1:$I$89,5,0)</f>
        <v>-3.1036506698001178E-14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207.02306964567629</v>
      </c>
      <c r="AO117" s="59">
        <f t="shared" si="90"/>
        <v>342.06887933351783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3.731374742045154</v>
      </c>
      <c r="AV117" s="21">
        <f>EXP(-LN(2)/25)*AV116+(1-EXP(-LN(2)/25))/(LN(2)/25)*Calculateur!AQ117*Calculateur!AS117*VLOOKUP('Données projet'!$B$10,Paramètres!$A$1:$I$89,3,0)*0.475*44/12</f>
        <v>4.1873794025172284</v>
      </c>
      <c r="AW117" s="21">
        <f>EXP(-LN(2)/2)*AW116+(1-EXP(-LN(2)/2))/(LN(2)/2)*AQ117*AT117*VLOOKUP('Données projet'!$B$10,Paramètres!$A$1:$I$89,3,0)*0.475*44/12</f>
        <v>2.5459177416894844E-12</v>
      </c>
      <c r="AX117" s="21">
        <f t="shared" si="60"/>
        <v>7.9187541445649279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345.45636360520137</v>
      </c>
      <c r="BJ117" s="59">
        <f t="shared" si="92"/>
        <v>469.30074822262549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2.5540143446070038</v>
      </c>
      <c r="BQ117" s="21">
        <f>EXP(-LN(2)/25)*BQ116+(1-EXP(-LN(2)/25))/(LN(2)/25)*Calculateur!BL117*Calculateur!BN117*VLOOKUP('Données projet'!$B$11,Paramètres!$A$1:$I$89,3,0)*0.475*44/12</f>
        <v>1.7961067209759709</v>
      </c>
      <c r="BR117" s="21">
        <f>EXP(-LN(2)/2)*BR116+(1-EXP(-LN(2)/2))/(LN(2)/2)*BL117*BO117*VLOOKUP('Données projet'!$B$11,Paramètres!$A$1:$I$89,3,0)*0.475*44/12</f>
        <v>1.7401483868731432E-12</v>
      </c>
      <c r="BS117" s="22">
        <f t="shared" si="63"/>
        <v>4.3501210655847151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-3.4106051316484809E-13</v>
      </c>
      <c r="O118" s="13">
        <f>N118*VLOOKUP('Données projet'!$B$9,Paramètres!$A$1:$I$89,3,0)*VLOOKUP('Données projet'!$B$9,Paramètres!$A$1:$I$89,5,0)</f>
        <v>-1.9065282685915009E-13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534.78683721545372</v>
      </c>
      <c r="T118" s="59">
        <f t="shared" si="88"/>
        <v>710.59298755711075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1.399156456961816</v>
      </c>
      <c r="AA118" s="21">
        <f>EXP(-LN(2)/25)*AA117+(1-EXP(-LN(2)/25))/(LN(2)/25)*Calculateur!V118*Calculateur!X118*VLOOKUP('Données projet'!$B$9,Paramètres!$A$1:$I$89,3,0)*0.475*44/12</f>
        <v>1.9302836665058902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3.3294401234677062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-5.6843418860808015E-14</v>
      </c>
      <c r="AJ118" s="13">
        <f>AI118*VLOOKUP('Données projet'!$B$10,Paramètres!$A$1:$I$89,3,0)*VLOOKUP('Données projet'!$B$10,Paramètres!$A$1:$I$89,5,0)</f>
        <v>-3.1036506698001178E-14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207.02306964567629</v>
      </c>
      <c r="AO118" s="59">
        <f t="shared" si="90"/>
        <v>342.06887933351783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3.6582047592675133</v>
      </c>
      <c r="AV118" s="21">
        <f>EXP(-LN(2)/25)*AV117+(1-EXP(-LN(2)/25))/(LN(2)/25)*Calculateur!AQ118*Calculateur!AS118*VLOOKUP('Données projet'!$B$10,Paramètres!$A$1:$I$89,3,0)*0.475*44/12</f>
        <v>4.0728752925506821</v>
      </c>
      <c r="AW118" s="21">
        <f>EXP(-LN(2)/2)*AW117+(1-EXP(-LN(2)/2))/(LN(2)/2)*AQ118*AT118*VLOOKUP('Données projet'!$B$10,Paramètres!$A$1:$I$89,3,0)*0.475*44/12</f>
        <v>1.8002356994917756E-12</v>
      </c>
      <c r="AX118" s="21">
        <f t="shared" si="60"/>
        <v>7.7310800518199958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345.45636360520137</v>
      </c>
      <c r="BJ118" s="59">
        <f t="shared" si="92"/>
        <v>469.30074822262549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2.5039316811041914</v>
      </c>
      <c r="BQ118" s="21">
        <f>EXP(-LN(2)/25)*BQ117+(1-EXP(-LN(2)/25))/(LN(2)/25)*Calculateur!BL118*Calculateur!BN118*VLOOKUP('Données projet'!$B$11,Paramètres!$A$1:$I$89,3,0)*0.475*44/12</f>
        <v>1.7469920882377357</v>
      </c>
      <c r="BR118" s="21">
        <f>EXP(-LN(2)/2)*BR117+(1-EXP(-LN(2)/2))/(LN(2)/2)*BL118*BO118*VLOOKUP('Données projet'!$B$11,Paramètres!$A$1:$I$89,3,0)*0.475*44/12</f>
        <v>1.2304707246288313E-12</v>
      </c>
      <c r="BS118" s="22">
        <f t="shared" si="63"/>
        <v>4.2509237693431574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-3.4106051316484809E-13</v>
      </c>
      <c r="O119" s="13">
        <f>N119*VLOOKUP('Données projet'!$B$9,Paramètres!$A$1:$I$89,3,0)*VLOOKUP('Données projet'!$B$9,Paramètres!$A$1:$I$89,5,0)</f>
        <v>-1.9065282685915009E-13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534.78683721545372</v>
      </c>
      <c r="T119" s="59">
        <f t="shared" si="88"/>
        <v>710.59298755711075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1.3717198522419671</v>
      </c>
      <c r="AA119" s="21">
        <f>EXP(-LN(2)/25)*AA118+(1-EXP(-LN(2)/25))/(LN(2)/25)*Calculateur!V119*Calculateur!X119*VLOOKUP('Données projet'!$B$9,Paramètres!$A$1:$I$89,3,0)*0.475*44/12</f>
        <v>1.8774999581360803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3.2492198103780474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-5.6843418860808015E-14</v>
      </c>
      <c r="AJ119" s="13">
        <f>AI119*VLOOKUP('Données projet'!$B$10,Paramètres!$A$1:$I$89,3,0)*VLOOKUP('Données projet'!$B$10,Paramètres!$A$1:$I$89,5,0)</f>
        <v>-3.1036506698001178E-14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207.02306964567629</v>
      </c>
      <c r="AO119" s="59">
        <f t="shared" si="90"/>
        <v>342.06887933351783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3.5864695952228596</v>
      </c>
      <c r="AV119" s="21">
        <f>EXP(-LN(2)/25)*AV118+(1-EXP(-LN(2)/25))/(LN(2)/25)*Calculateur!AQ119*Calculateur!AS119*VLOOKUP('Données projet'!$B$10,Paramètres!$A$1:$I$89,3,0)*0.475*44/12</f>
        <v>3.9615023034926806</v>
      </c>
      <c r="AW119" s="21">
        <f>EXP(-LN(2)/2)*AW118+(1-EXP(-LN(2)/2))/(LN(2)/2)*AQ119*AT119*VLOOKUP('Données projet'!$B$10,Paramètres!$A$1:$I$89,3,0)*0.475*44/12</f>
        <v>1.2729588708447424E-12</v>
      </c>
      <c r="AX119" s="21">
        <f t="shared" si="60"/>
        <v>7.5479718987168125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345.45636360520137</v>
      </c>
      <c r="BJ119" s="59">
        <f t="shared" si="92"/>
        <v>469.30074822262549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2.4548311080852607</v>
      </c>
      <c r="BQ119" s="21">
        <f>EXP(-LN(2)/25)*BQ118+(1-EXP(-LN(2)/25))/(LN(2)/25)*Calculateur!BL119*Calculateur!BN119*VLOOKUP('Données projet'!$B$11,Paramètres!$A$1:$I$89,3,0)*0.475*44/12</f>
        <v>1.6992204977145537</v>
      </c>
      <c r="BR119" s="21">
        <f>EXP(-LN(2)/2)*BR118+(1-EXP(-LN(2)/2))/(LN(2)/2)*BL119*BO119*VLOOKUP('Données projet'!$B$11,Paramètres!$A$1:$I$89,3,0)*0.475*44/12</f>
        <v>8.700741934365716E-13</v>
      </c>
      <c r="BS119" s="22">
        <f t="shared" si="63"/>
        <v>4.1540516058006851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-3.4106051316484809E-13</v>
      </c>
      <c r="O120" s="13">
        <f>N120*VLOOKUP('Données projet'!$B$9,Paramètres!$A$1:$I$89,3,0)*VLOOKUP('Données projet'!$B$9,Paramètres!$A$1:$I$89,5,0)</f>
        <v>-1.9065282685915009E-13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534.78683721545372</v>
      </c>
      <c r="T120" s="59">
        <f t="shared" si="88"/>
        <v>710.59298755711075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1.3448212626059981</v>
      </c>
      <c r="AA120" s="21">
        <f>EXP(-LN(2)/25)*AA119+(1-EXP(-LN(2)/25))/(LN(2)/25)*Calculateur!V120*Calculateur!X120*VLOOKUP('Données projet'!$B$9,Paramètres!$A$1:$I$89,3,0)*0.475*44/12</f>
        <v>1.8261596230474175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3.1709808856534156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-5.6843418860808015E-14</v>
      </c>
      <c r="AJ120" s="13">
        <f>AI120*VLOOKUP('Données projet'!$B$10,Paramètres!$A$1:$I$89,3,0)*VLOOKUP('Données projet'!$B$10,Paramètres!$A$1:$I$89,5,0)</f>
        <v>-3.1036506698001178E-14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207.02306964567629</v>
      </c>
      <c r="AO120" s="59">
        <f t="shared" si="90"/>
        <v>342.06887933351783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3.5161411139909915</v>
      </c>
      <c r="AV120" s="21">
        <f>EXP(-LN(2)/25)*AV119+(1-EXP(-LN(2)/25))/(LN(2)/25)*Calculateur!AQ120*Calculateur!AS120*VLOOKUP('Données projet'!$B$10,Paramètres!$A$1:$I$89,3,0)*0.475*44/12</f>
        <v>3.8531748146773213</v>
      </c>
      <c r="AW120" s="21">
        <f>EXP(-LN(2)/2)*AW119+(1-EXP(-LN(2)/2))/(LN(2)/2)*AQ120*AT120*VLOOKUP('Données projet'!$B$10,Paramètres!$A$1:$I$89,3,0)*0.475*44/12</f>
        <v>9.0011784974588791E-13</v>
      </c>
      <c r="AX120" s="21">
        <f t="shared" si="60"/>
        <v>7.369315928669212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345.45636360520137</v>
      </c>
      <c r="BJ120" s="59">
        <f t="shared" si="92"/>
        <v>469.30074822262549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2.4066933673548387</v>
      </c>
      <c r="BQ120" s="21">
        <f>EXP(-LN(2)/25)*BQ119+(1-EXP(-LN(2)/25))/(LN(2)/25)*Calculateur!BL120*Calculateur!BN120*VLOOKUP('Données projet'!$B$11,Paramètres!$A$1:$I$89,3,0)*0.475*44/12</f>
        <v>1.6527552238464269</v>
      </c>
      <c r="BR120" s="21">
        <f>EXP(-LN(2)/2)*BR119+(1-EXP(-LN(2)/2))/(LN(2)/2)*BL120*BO120*VLOOKUP('Données projet'!$B$11,Paramètres!$A$1:$I$89,3,0)*0.475*44/12</f>
        <v>6.1523536231441565E-13</v>
      </c>
      <c r="BS120" s="22">
        <f t="shared" si="63"/>
        <v>4.059448591201881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-3.4106051316484809E-13</v>
      </c>
      <c r="O121" s="13">
        <f>N121*VLOOKUP('Données projet'!$B$9,Paramètres!$A$1:$I$89,3,0)*VLOOKUP('Données projet'!$B$9,Paramètres!$A$1:$I$89,5,0)</f>
        <v>-1.9065282685915009E-13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534.78683721545372</v>
      </c>
      <c r="T121" s="59">
        <f t="shared" si="88"/>
        <v>710.59298755711075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1.3184501379062707</v>
      </c>
      <c r="AA121" s="21">
        <f>EXP(-LN(2)/25)*AA120+(1-EXP(-LN(2)/25))/(LN(2)/25)*Calculateur!V121*Calculateur!X121*VLOOKUP('Données projet'!$B$9,Paramètres!$A$1:$I$89,3,0)*0.475*44/12</f>
        <v>1.7762231921216252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3.0946733300278959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-5.6843418860808015E-14</v>
      </c>
      <c r="AJ121" s="13">
        <f>AI121*VLOOKUP('Données projet'!$B$10,Paramètres!$A$1:$I$89,3,0)*VLOOKUP('Données projet'!$B$10,Paramètres!$A$1:$I$89,5,0)</f>
        <v>-3.1036506698001178E-14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207.02306964567629</v>
      </c>
      <c r="AO121" s="59">
        <f t="shared" si="90"/>
        <v>342.06887933351783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3.4471917313799425</v>
      </c>
      <c r="AV121" s="21">
        <f>EXP(-LN(2)/25)*AV120+(1-EXP(-LN(2)/25))/(LN(2)/25)*Calculateur!AQ121*Calculateur!AS121*VLOOKUP('Données projet'!$B$10,Paramètres!$A$1:$I$89,3,0)*0.475*44/12</f>
        <v>3.7478095467403127</v>
      </c>
      <c r="AW121" s="21">
        <f>EXP(-LN(2)/2)*AW120+(1-EXP(-LN(2)/2))/(LN(2)/2)*AQ121*AT121*VLOOKUP('Données projet'!$B$10,Paramètres!$A$1:$I$89,3,0)*0.475*44/12</f>
        <v>6.3647943542237131E-13</v>
      </c>
      <c r="AX121" s="21">
        <f t="shared" si="60"/>
        <v>7.1950012781208921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345.45636360520137</v>
      </c>
      <c r="BJ121" s="59">
        <f t="shared" si="92"/>
        <v>469.30074822262549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2.3594995783590176</v>
      </c>
      <c r="BQ121" s="21">
        <f>EXP(-LN(2)/25)*BQ120+(1-EXP(-LN(2)/25))/(LN(2)/25)*Calculateur!BL121*Calculateur!BN121*VLOOKUP('Données projet'!$B$11,Paramètres!$A$1:$I$89,3,0)*0.475*44/12</f>
        <v>1.6075605453357267</v>
      </c>
      <c r="BR121" s="21">
        <f>EXP(-LN(2)/2)*BR120+(1-EXP(-LN(2)/2))/(LN(2)/2)*BL121*BO121*VLOOKUP('Données projet'!$B$11,Paramètres!$A$1:$I$89,3,0)*0.475*44/12</f>
        <v>4.350370967182858E-13</v>
      </c>
      <c r="BS121" s="22">
        <f t="shared" si="63"/>
        <v>3.9670601236951795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-3.4106051316484809E-13</v>
      </c>
      <c r="O122" s="13">
        <f>N122*VLOOKUP('Données projet'!$B$9,Paramètres!$A$1:$I$89,3,0)*VLOOKUP('Données projet'!$B$9,Paramètres!$A$1:$I$89,5,0)</f>
        <v>-1.9065282685915009E-13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534.78683721545372</v>
      </c>
      <c r="T122" s="59">
        <f t="shared" si="88"/>
        <v>710.59298755711075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1.2925961348771071</v>
      </c>
      <c r="AA122" s="21">
        <f>EXP(-LN(2)/25)*AA121+(1-EXP(-LN(2)/25))/(LN(2)/25)*Calculateur!V122*Calculateur!X122*VLOOKUP('Données projet'!$B$9,Paramètres!$A$1:$I$89,3,0)*0.475*44/12</f>
        <v>1.7276522755255412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3.0202484104026484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-5.6843418860808015E-14</v>
      </c>
      <c r="AJ122" s="13">
        <f>AI122*VLOOKUP('Données projet'!$B$10,Paramètres!$A$1:$I$89,3,0)*VLOOKUP('Données projet'!$B$10,Paramètres!$A$1:$I$89,5,0)</f>
        <v>-3.1036506698001178E-14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207.02306964567629</v>
      </c>
      <c r="AO122" s="59">
        <f t="shared" si="90"/>
        <v>342.06887933351783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3.3795944041069257</v>
      </c>
      <c r="AV122" s="21">
        <f>EXP(-LN(2)/25)*AV121+(1-EXP(-LN(2)/25))/(LN(2)/25)*Calculateur!AQ122*Calculateur!AS122*VLOOKUP('Données projet'!$B$10,Paramètres!$A$1:$I$89,3,0)*0.475*44/12</f>
        <v>3.6453254975959606</v>
      </c>
      <c r="AW122" s="21">
        <f>EXP(-LN(2)/2)*AW121+(1-EXP(-LN(2)/2))/(LN(2)/2)*AQ122*AT122*VLOOKUP('Données projet'!$B$10,Paramètres!$A$1:$I$89,3,0)*0.475*44/12</f>
        <v>4.5005892487294406E-13</v>
      </c>
      <c r="AX122" s="21">
        <f t="shared" si="60"/>
        <v>7.0249199017033366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345.45636360520137</v>
      </c>
      <c r="BJ122" s="59">
        <f t="shared" si="92"/>
        <v>469.30074822262549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2.3132312307800356</v>
      </c>
      <c r="BQ122" s="21">
        <f>EXP(-LN(2)/25)*BQ121+(1-EXP(-LN(2)/25))/(LN(2)/25)*Calculateur!BL122*Calculateur!BN122*VLOOKUP('Données projet'!$B$11,Paramètres!$A$1:$I$89,3,0)*0.475*44/12</f>
        <v>1.5636017176855863</v>
      </c>
      <c r="BR122" s="21">
        <f>EXP(-LN(2)/2)*BR121+(1-EXP(-LN(2)/2))/(LN(2)/2)*BL122*BO122*VLOOKUP('Données projet'!$B$11,Paramètres!$A$1:$I$89,3,0)*0.475*44/12</f>
        <v>3.0761768115720782E-13</v>
      </c>
      <c r="BS122" s="22">
        <f t="shared" si="63"/>
        <v>3.8768329484659296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-3.4106051316484809E-13</v>
      </c>
      <c r="O123" s="13">
        <f>N123*VLOOKUP('Données projet'!$B$9,Paramètres!$A$1:$I$89,3,0)*VLOOKUP('Données projet'!$B$9,Paramètres!$A$1:$I$89,5,0)</f>
        <v>-1.9065282685915009E-13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534.78683721545372</v>
      </c>
      <c r="T123" s="59">
        <f t="shared" si="88"/>
        <v>710.59298755711075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1.2672491130779606</v>
      </c>
      <c r="AA123" s="21">
        <f>EXP(-LN(2)/25)*AA122+(1-EXP(-LN(2)/25))/(LN(2)/25)*Calculateur!V123*Calculateur!X123*VLOOKUP('Données projet'!$B$9,Paramètres!$A$1:$I$89,3,0)*0.475*44/12</f>
        <v>1.6804095331980107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2.9476586462759711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-5.6843418860808015E-14</v>
      </c>
      <c r="AJ123" s="13">
        <f>AI123*VLOOKUP('Données projet'!$B$10,Paramètres!$A$1:$I$89,3,0)*VLOOKUP('Données projet'!$B$10,Paramètres!$A$1:$I$89,5,0)</f>
        <v>-3.1036506698001178E-14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207.02306964567629</v>
      </c>
      <c r="AO123" s="59">
        <f t="shared" si="90"/>
        <v>342.06887933351783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3.313322619191434</v>
      </c>
      <c r="AV123" s="21">
        <f>EXP(-LN(2)/25)*AV122+(1-EXP(-LN(2)/25))/(LN(2)/25)*Calculateur!AQ123*Calculateur!AS123*VLOOKUP('Données projet'!$B$10,Paramètres!$A$1:$I$89,3,0)*0.475*44/12</f>
        <v>3.5456438801648624</v>
      </c>
      <c r="AW123" s="21">
        <f>EXP(-LN(2)/2)*AW122+(1-EXP(-LN(2)/2))/(LN(2)/2)*AQ123*AT123*VLOOKUP('Données projet'!$B$10,Paramètres!$A$1:$I$89,3,0)*0.475*44/12</f>
        <v>3.1823971771118571E-13</v>
      </c>
      <c r="AX123" s="21">
        <f t="shared" si="60"/>
        <v>6.8589664993566144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345.45636360520137</v>
      </c>
      <c r="BJ123" s="59">
        <f t="shared" si="92"/>
        <v>469.30074822262549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2.2678701772761718</v>
      </c>
      <c r="BQ123" s="21">
        <f>EXP(-LN(2)/25)*BQ122+(1-EXP(-LN(2)/25))/(LN(2)/25)*Calculateur!BL123*Calculateur!BN123*VLOOKUP('Données projet'!$B$11,Paramètres!$A$1:$I$89,3,0)*0.475*44/12</f>
        <v>1.5208449464892333</v>
      </c>
      <c r="BR123" s="21">
        <f>EXP(-LN(2)/2)*BR122+(1-EXP(-LN(2)/2))/(LN(2)/2)*BL123*BO123*VLOOKUP('Données projet'!$B$11,Paramètres!$A$1:$I$89,3,0)*0.475*44/12</f>
        <v>2.175185483591429E-13</v>
      </c>
      <c r="BS123" s="22">
        <f t="shared" si="63"/>
        <v>3.7887151237656225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-1.9065282685915009E-13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534.78683721545372</v>
      </c>
      <c r="T124" s="59">
        <f t="shared" si="88"/>
        <v>710.59298755711075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1.2423991309161388</v>
      </c>
      <c r="AA124" s="21">
        <f>EXP(-LN(2)/25)*AA123+(1-EXP(-LN(2)/25))/(LN(2)/25)*Calculateur!V124*Calculateur!X124*VLOOKUP('Données projet'!$B$9,Paramètres!$A$1:$I$89,3,0)*0.475*44/12</f>
        <v>1.6344586461438144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2.8768577770599535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-5.6843418860808015E-14</v>
      </c>
      <c r="AJ124" s="13">
        <f>AI124*VLOOKUP('Données projet'!$B$10,Paramètres!$A$1:$I$89,3,0)*VLOOKUP('Données projet'!$B$10,Paramètres!$A$1:$I$89,5,0)</f>
        <v>-3.1036506698001178E-14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207.02306964567629</v>
      </c>
      <c r="AO124" s="59">
        <f t="shared" si="90"/>
        <v>342.06887933351783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3.2483503835563377</v>
      </c>
      <c r="AV124" s="21">
        <f>EXP(-LN(2)/25)*AV123+(1-EXP(-LN(2)/25))/(LN(2)/25)*Calculateur!AQ124*Calculateur!AS124*VLOOKUP('Données projet'!$B$10,Paramètres!$A$1:$I$89,3,0)*0.475*44/12</f>
        <v>3.4486880618044462</v>
      </c>
      <c r="AW124" s="21">
        <f>EXP(-LN(2)/2)*AW123+(1-EXP(-LN(2)/2))/(LN(2)/2)*AQ124*AT124*VLOOKUP('Données projet'!$B$10,Paramètres!$A$1:$I$89,3,0)*0.475*44/12</f>
        <v>2.2502946243647205E-13</v>
      </c>
      <c r="AX124" s="21">
        <f t="shared" si="60"/>
        <v>6.6970384453610086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345.45636360520137</v>
      </c>
      <c r="BJ124" s="59">
        <f t="shared" si="92"/>
        <v>469.30074822262549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2.2233986263640082</v>
      </c>
      <c r="BQ124" s="21">
        <f>EXP(-LN(2)/25)*BQ123+(1-EXP(-LN(2)/25))/(LN(2)/25)*Calculateur!BL124*Calculateur!BN124*VLOOKUP('Données projet'!$B$11,Paramètres!$A$1:$I$89,3,0)*0.475*44/12</f>
        <v>1.4792573614497253</v>
      </c>
      <c r="BR124" s="21">
        <f>EXP(-LN(2)/2)*BR123+(1-EXP(-LN(2)/2))/(LN(2)/2)*BL124*BO124*VLOOKUP('Données projet'!$B$11,Paramètres!$A$1:$I$89,3,0)*0.475*44/12</f>
        <v>1.5380884057860391E-13</v>
      </c>
      <c r="BS124" s="22">
        <f t="shared" si="63"/>
        <v>3.7026559878138872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-1.9065282685915009E-13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534.78683721545372</v>
      </c>
      <c r="T125" s="59">
        <f t="shared" si="88"/>
        <v>710.59298755711075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1.2180364417475178</v>
      </c>
      <c r="AA125" s="21">
        <f>EXP(-LN(2)/25)*AA124+(1-EXP(-LN(2)/25))/(LN(2)/25)*Calculateur!V125*Calculateur!X125*VLOOKUP('Données projet'!$B$9,Paramètres!$A$1:$I$89,3,0)*0.475*44/12</f>
        <v>1.5897642885125671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2.8078007302600847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-5.6843418860808015E-14</v>
      </c>
      <c r="AJ125" s="13">
        <f>AI125*VLOOKUP('Données projet'!$B$10,Paramètres!$A$1:$I$89,3,0)*VLOOKUP('Données projet'!$B$10,Paramètres!$A$1:$I$89,5,0)</f>
        <v>-3.1036506698001178E-14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207.02306964567629</v>
      </c>
      <c r="AO125" s="59">
        <f t="shared" si="90"/>
        <v>342.06887933351783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3.1846522138328948</v>
      </c>
      <c r="AV125" s="21">
        <f>EXP(-LN(2)/25)*AV124+(1-EXP(-LN(2)/25))/(LN(2)/25)*Calculateur!AQ125*Calculateur!AS125*VLOOKUP('Données projet'!$B$10,Paramètres!$A$1:$I$89,3,0)*0.475*44/12</f>
        <v>3.3543835053957807</v>
      </c>
      <c r="AW125" s="21">
        <f>EXP(-LN(2)/2)*AW124+(1-EXP(-LN(2)/2))/(LN(2)/2)*AQ125*AT125*VLOOKUP('Données projet'!$B$10,Paramètres!$A$1:$I$89,3,0)*0.475*44/12</f>
        <v>1.5911985885559288E-13</v>
      </c>
      <c r="AX125" s="21">
        <f t="shared" si="60"/>
        <v>6.539035719228834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345.45636360520137</v>
      </c>
      <c r="BJ125" s="59">
        <f t="shared" si="92"/>
        <v>469.30074822262549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2.1797991354402644</v>
      </c>
      <c r="BQ125" s="21">
        <f>EXP(-LN(2)/25)*BQ124+(1-EXP(-LN(2)/25))/(LN(2)/25)*Calculateur!BL125*Calculateur!BN125*VLOOKUP('Données projet'!$B$11,Paramètres!$A$1:$I$89,3,0)*0.475*44/12</f>
        <v>1.4388069911101189</v>
      </c>
      <c r="BR125" s="21">
        <f>EXP(-LN(2)/2)*BR124+(1-EXP(-LN(2)/2))/(LN(2)/2)*BL125*BO125*VLOOKUP('Données projet'!$B$11,Paramètres!$A$1:$I$89,3,0)*0.475*44/12</f>
        <v>1.0875927417957145E-13</v>
      </c>
      <c r="BS125" s="22">
        <f t="shared" si="63"/>
        <v>3.6186061265504921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-1.9065282685915009E-13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534.78683721545372</v>
      </c>
      <c r="T126" s="59">
        <f t="shared" si="88"/>
        <v>710.59298755711075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1.1941514900537202</v>
      </c>
      <c r="AA126" s="21">
        <f>EXP(-LN(2)/25)*AA125+(1-EXP(-LN(2)/25))/(LN(2)/25)*Calculateur!V126*Calculateur!X126*VLOOKUP('Données projet'!$B$9,Paramètres!$A$1:$I$89,3,0)*0.475*44/12</f>
        <v>1.5462921004411205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2.7404435904948405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-5.6843418860808015E-14</v>
      </c>
      <c r="AJ126" s="13">
        <f>AI126*VLOOKUP('Données projet'!$B$10,Paramètres!$A$1:$I$89,3,0)*VLOOKUP('Données projet'!$B$10,Paramètres!$A$1:$I$89,5,0)</f>
        <v>-3.1036506698001178E-14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207.02306964567629</v>
      </c>
      <c r="AO126" s="59">
        <f t="shared" si="90"/>
        <v>342.06887933351783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3.1222031263656813</v>
      </c>
      <c r="AV126" s="21">
        <f>EXP(-LN(2)/25)*AV125+(1-EXP(-LN(2)/25))/(LN(2)/25)*Calculateur!AQ126*Calculateur!AS126*VLOOKUP('Données projet'!$B$10,Paramètres!$A$1:$I$89,3,0)*0.475*44/12</f>
        <v>3.2626577120413711</v>
      </c>
      <c r="AW126" s="21">
        <f>EXP(-LN(2)/2)*AW125+(1-EXP(-LN(2)/2))/(LN(2)/2)*AQ126*AT126*VLOOKUP('Données projet'!$B$10,Paramètres!$A$1:$I$89,3,0)*0.475*44/12</f>
        <v>1.1251473121823605E-13</v>
      </c>
      <c r="AX126" s="21">
        <f t="shared" si="60"/>
        <v>6.3848608384071648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345.45636360520137</v>
      </c>
      <c r="BJ126" s="59">
        <f t="shared" si="92"/>
        <v>469.30074822262549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2.1370546039404714</v>
      </c>
      <c r="BQ126" s="21">
        <f>EXP(-LN(2)/25)*BQ125+(1-EXP(-LN(2)/25))/(LN(2)/25)*Calculateur!BL126*Calculateur!BN126*VLOOKUP('Données projet'!$B$11,Paramètres!$A$1:$I$89,3,0)*0.475*44/12</f>
        <v>1.3994627382746414</v>
      </c>
      <c r="BR126" s="21">
        <f>EXP(-LN(2)/2)*BR125+(1-EXP(-LN(2)/2))/(LN(2)/2)*BL126*BO126*VLOOKUP('Données projet'!$B$11,Paramètres!$A$1:$I$89,3,0)*0.475*44/12</f>
        <v>7.6904420289301956E-14</v>
      </c>
      <c r="BS126" s="22">
        <f t="shared" si="63"/>
        <v>3.5365173422151899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-1.9065282685915009E-13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534.78683721545372</v>
      </c>
      <c r="T127" s="59">
        <f t="shared" si="88"/>
        <v>710.59298755711075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1.1707349076942561</v>
      </c>
      <c r="AA127" s="21">
        <f>EXP(-LN(2)/25)*AA126+(1-EXP(-LN(2)/25))/(LN(2)/25)*Calculateur!V127*Calculateur!X127*VLOOKUP('Données projet'!$B$9,Paramètres!$A$1:$I$89,3,0)*0.475*44/12</f>
        <v>1.5040086616385906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2.674743569332847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-5.6843418860808015E-14</v>
      </c>
      <c r="AJ127" s="13">
        <f>AI127*VLOOKUP('Données projet'!$B$10,Paramètres!$A$1:$I$89,3,0)*VLOOKUP('Données projet'!$B$10,Paramètres!$A$1:$I$89,5,0)</f>
        <v>-3.1036506698001178E-14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207.02306964567629</v>
      </c>
      <c r="AO127" s="59">
        <f t="shared" si="90"/>
        <v>342.06887933351783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3.060978627413518</v>
      </c>
      <c r="AV127" s="21">
        <f>EXP(-LN(2)/25)*AV126+(1-EXP(-LN(2)/25))/(LN(2)/25)*Calculateur!AQ127*Calculateur!AS127*VLOOKUP('Données projet'!$B$10,Paramètres!$A$1:$I$89,3,0)*0.475*44/12</f>
        <v>3.1734401653298878</v>
      </c>
      <c r="AW127" s="21">
        <f>EXP(-LN(2)/2)*AW126+(1-EXP(-LN(2)/2))/(LN(2)/2)*AQ127*AT127*VLOOKUP('Données projet'!$B$10,Paramètres!$A$1:$I$89,3,0)*0.475*44/12</f>
        <v>7.9559929427796452E-14</v>
      </c>
      <c r="AX127" s="21">
        <f t="shared" si="60"/>
        <v>6.2344187927434858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345.45636360520137</v>
      </c>
      <c r="BJ127" s="59">
        <f t="shared" si="92"/>
        <v>469.30074822262549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2.0951482666317998</v>
      </c>
      <c r="BQ127" s="21">
        <f>EXP(-LN(2)/25)*BQ126+(1-EXP(-LN(2)/25))/(LN(2)/25)*Calculateur!BL127*Calculateur!BN127*VLOOKUP('Données projet'!$B$11,Paramètres!$A$1:$I$89,3,0)*0.475*44/12</f>
        <v>1.3611943561019744</v>
      </c>
      <c r="BR127" s="21">
        <f>EXP(-LN(2)/2)*BR126+(1-EXP(-LN(2)/2))/(LN(2)/2)*BL127*BO127*VLOOKUP('Données projet'!$B$11,Paramètres!$A$1:$I$89,3,0)*0.475*44/12</f>
        <v>5.4379637089785725E-14</v>
      </c>
      <c r="BS127" s="22">
        <f t="shared" si="63"/>
        <v>3.4563426227338283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-1.9065282685915009E-13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534.78683721545372</v>
      </c>
      <c r="T128" s="59">
        <f t="shared" si="88"/>
        <v>710.59298755711075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1.1477775102321561</v>
      </c>
      <c r="AA128" s="21">
        <f>EXP(-LN(2)/25)*AA127+(1-EXP(-LN(2)/25))/(LN(2)/25)*Calculateur!V128*Calculateur!X128*VLOOKUP('Données projet'!$B$9,Paramètres!$A$1:$I$89,3,0)*0.475*44/12</f>
        <v>1.4628814656937053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2.6106589759258614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-5.6843418860808015E-14</v>
      </c>
      <c r="AJ128" s="13">
        <f>AI128*VLOOKUP('Données projet'!$B$10,Paramètres!$A$1:$I$89,3,0)*VLOOKUP('Données projet'!$B$10,Paramètres!$A$1:$I$89,5,0)</f>
        <v>-3.1036506698001178E-14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207.02306964567629</v>
      </c>
      <c r="AO128" s="59">
        <f t="shared" si="90"/>
        <v>342.06887933351783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3.0009547035425497</v>
      </c>
      <c r="AV128" s="21">
        <f>EXP(-LN(2)/25)*AV127+(1-EXP(-LN(2)/25))/(LN(2)/25)*Calculateur!AQ128*Calculateur!AS128*VLOOKUP('Données projet'!$B$10,Paramètres!$A$1:$I$89,3,0)*0.475*44/12</f>
        <v>3.0866622771249768</v>
      </c>
      <c r="AW128" s="21">
        <f>EXP(-LN(2)/2)*AW127+(1-EXP(-LN(2)/2))/(LN(2)/2)*AQ128*AT128*VLOOKUP('Données projet'!$B$10,Paramètres!$A$1:$I$89,3,0)*0.475*44/12</f>
        <v>5.6257365609118032E-14</v>
      </c>
      <c r="AX128" s="21">
        <f t="shared" si="60"/>
        <v>6.0876169806675824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345.45636360520137</v>
      </c>
      <c r="BJ128" s="59">
        <f t="shared" si="92"/>
        <v>469.30074822262549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2.0540636870374094</v>
      </c>
      <c r="BQ128" s="21">
        <f>EXP(-LN(2)/25)*BQ127+(1-EXP(-LN(2)/25))/(LN(2)/25)*Calculateur!BL128*Calculateur!BN128*VLOOKUP('Données projet'!$B$11,Paramètres!$A$1:$I$89,3,0)*0.475*44/12</f>
        <v>1.3239724248522657</v>
      </c>
      <c r="BR128" s="21">
        <f>EXP(-LN(2)/2)*BR127+(1-EXP(-LN(2)/2))/(LN(2)/2)*BL128*BO128*VLOOKUP('Données projet'!$B$11,Paramètres!$A$1:$I$89,3,0)*0.475*44/12</f>
        <v>3.8452210144650978E-14</v>
      </c>
      <c r="BS128" s="22">
        <f t="shared" si="63"/>
        <v>3.3780361118897138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-1.9065282685915009E-13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534.78683721545372</v>
      </c>
      <c r="T129" s="59">
        <f t="shared" si="88"/>
        <v>710.59298755711075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1.1252702933316581</v>
      </c>
      <c r="AA129" s="21">
        <f>EXP(-LN(2)/25)*AA128+(1-EXP(-LN(2)/25))/(LN(2)/25)*Calculateur!V129*Calculateur!X129*VLOOKUP('Données projet'!$B$9,Paramètres!$A$1:$I$89,3,0)*0.475*44/12</f>
        <v>1.422878895084718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2.5481491884163763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-5.6843418860808015E-14</v>
      </c>
      <c r="AJ129" s="13">
        <f>AI129*VLOOKUP('Données projet'!$B$10,Paramètres!$A$1:$I$89,3,0)*VLOOKUP('Données projet'!$B$10,Paramètres!$A$1:$I$89,5,0)</f>
        <v>-3.1036506698001178E-14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207.02306964567629</v>
      </c>
      <c r="AO129" s="59">
        <f t="shared" si="90"/>
        <v>342.06887933351783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2.9421078122077122</v>
      </c>
      <c r="AV129" s="21">
        <f>EXP(-LN(2)/25)*AV128+(1-EXP(-LN(2)/25))/(LN(2)/25)*Calculateur!AQ129*Calculateur!AS129*VLOOKUP('Données projet'!$B$10,Paramètres!$A$1:$I$89,3,0)*0.475*44/12</f>
        <v>3.0022573348364796</v>
      </c>
      <c r="AW129" s="21">
        <f>EXP(-LN(2)/2)*AW128+(1-EXP(-LN(2)/2))/(LN(2)/2)*AQ129*AT129*VLOOKUP('Données projet'!$B$10,Paramètres!$A$1:$I$89,3,0)*0.475*44/12</f>
        <v>3.9779964713898232E-14</v>
      </c>
      <c r="AX129" s="21">
        <f t="shared" si="60"/>
        <v>5.9443651470442314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345.45636360520137</v>
      </c>
      <c r="BJ129" s="59">
        <f t="shared" si="92"/>
        <v>469.30074822262549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2.0137847509897457</v>
      </c>
      <c r="BQ129" s="21">
        <f>EXP(-LN(2)/25)*BQ128+(1-EXP(-LN(2)/25))/(LN(2)/25)*Calculateur!BL129*Calculateur!BN129*VLOOKUP('Données projet'!$B$11,Paramètres!$A$1:$I$89,3,0)*0.475*44/12</f>
        <v>1.2877683292699966</v>
      </c>
      <c r="BR129" s="21">
        <f>EXP(-LN(2)/2)*BR128+(1-EXP(-LN(2)/2))/(LN(2)/2)*BL129*BO129*VLOOKUP('Données projet'!$B$11,Paramètres!$A$1:$I$89,3,0)*0.475*44/12</f>
        <v>2.7189818544892862E-14</v>
      </c>
      <c r="BS129" s="22">
        <f t="shared" si="63"/>
        <v>3.3015530802597692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-1.9065282685915009E-13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534.78683721545372</v>
      </c>
      <c r="T130" s="59">
        <f t="shared" si="88"/>
        <v>710.59298755711075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1.1032044292265319</v>
      </c>
      <c r="AA130" s="21">
        <f>EXP(-LN(2)/25)*AA129+(1-EXP(-LN(2)/25))/(LN(2)/25)*Calculateur!V130*Calculateur!X130*VLOOKUP('Données projet'!$B$9,Paramètres!$A$1:$I$89,3,0)*0.475*44/12</f>
        <v>1.3839701968726774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2.4871746260992094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-5.6843418860808015E-14</v>
      </c>
      <c r="AJ130" s="13">
        <f>AI130*VLOOKUP('Données projet'!$B$10,Paramètres!$A$1:$I$89,3,0)*VLOOKUP('Données projet'!$B$10,Paramètres!$A$1:$I$89,5,0)</f>
        <v>-3.1036506698001178E-14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207.02306964567629</v>
      </c>
      <c r="AO130" s="59">
        <f t="shared" si="90"/>
        <v>342.06887933351783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2.8844148725188914</v>
      </c>
      <c r="AV130" s="21">
        <f>EXP(-LN(2)/25)*AV129+(1-EXP(-LN(2)/25))/(LN(2)/25)*Calculateur!AQ130*Calculateur!AS130*VLOOKUP('Données projet'!$B$10,Paramètres!$A$1:$I$89,3,0)*0.475*44/12</f>
        <v>2.9201604501335248</v>
      </c>
      <c r="AW130" s="21">
        <f>EXP(-LN(2)/2)*AW129+(1-EXP(-LN(2)/2))/(LN(2)/2)*AQ130*AT130*VLOOKUP('Données projet'!$B$10,Paramètres!$A$1:$I$89,3,0)*0.475*44/12</f>
        <v>2.8128682804559019E-14</v>
      </c>
      <c r="AX130" s="21">
        <f t="shared" si="60"/>
        <v>5.804575322652445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345.45636360520137</v>
      </c>
      <c r="BJ130" s="59">
        <f t="shared" si="92"/>
        <v>469.30074822262549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1.9742956603102517</v>
      </c>
      <c r="BQ130" s="21">
        <f>EXP(-LN(2)/25)*BQ129+(1-EXP(-LN(2)/25))/(LN(2)/25)*Calculateur!BL130*Calculateur!BN130*VLOOKUP('Données projet'!$B$11,Paramètres!$A$1:$I$89,3,0)*0.475*44/12</f>
        <v>1.2525542365853153</v>
      </c>
      <c r="BR130" s="21">
        <f>EXP(-LN(2)/2)*BR129+(1-EXP(-LN(2)/2))/(LN(2)/2)*BL130*BO130*VLOOKUP('Données projet'!$B$11,Paramètres!$A$1:$I$89,3,0)*0.475*44/12</f>
        <v>1.9226105072325489E-14</v>
      </c>
      <c r="BS130" s="22">
        <f t="shared" si="63"/>
        <v>3.2268498968955863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-1.9065282685915009E-13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534.78683721545372</v>
      </c>
      <c r="T131" s="59">
        <f t="shared" si="88"/>
        <v>710.59298755711075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1.0815712632576593</v>
      </c>
      <c r="AA131" s="21">
        <f>EXP(-LN(2)/25)*AA130+(1-EXP(-LN(2)/25))/(LN(2)/25)*Calculateur!V131*Calculateur!X131*VLOOKUP('Données projet'!$B$9,Paramètres!$A$1:$I$89,3,0)*0.475*44/12</f>
        <v>1.3461254590593645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2.427696722317024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-5.6843418860808015E-14</v>
      </c>
      <c r="AJ131" s="13">
        <f>AI131*VLOOKUP('Données projet'!$B$10,Paramètres!$A$1:$I$89,3,0)*VLOOKUP('Données projet'!$B$10,Paramètres!$A$1:$I$89,5,0)</f>
        <v>-3.1036506698001178E-14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207.02306964567629</v>
      </c>
      <c r="AO131" s="59">
        <f t="shared" si="90"/>
        <v>342.06887933351783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2.82785325618815</v>
      </c>
      <c r="AV131" s="21">
        <f>EXP(-LN(2)/25)*AV130+(1-EXP(-LN(2)/25))/(LN(2)/25)*Calculateur!AQ131*Calculateur!AS131*VLOOKUP('Données projet'!$B$10,Paramètres!$A$1:$I$89,3,0)*0.475*44/12</f>
        <v>2.8403085090600597</v>
      </c>
      <c r="AW131" s="21">
        <f>EXP(-LN(2)/2)*AW130+(1-EXP(-LN(2)/2))/(LN(2)/2)*AQ131*AT131*VLOOKUP('Données projet'!$B$10,Paramètres!$A$1:$I$89,3,0)*0.475*44/12</f>
        <v>1.9889982356949119E-14</v>
      </c>
      <c r="AX131" s="21">
        <f t="shared" si="60"/>
        <v>5.6681617652482288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345.45636360520137</v>
      </c>
      <c r="BJ131" s="59">
        <f t="shared" si="92"/>
        <v>469.30074822262549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1.9355809266130155</v>
      </c>
      <c r="BQ131" s="21">
        <f>EXP(-LN(2)/25)*BQ130+(1-EXP(-LN(2)/25))/(LN(2)/25)*Calculateur!BL131*Calculateur!BN131*VLOOKUP('Données projet'!$B$11,Paramètres!$A$1:$I$89,3,0)*0.475*44/12</f>
        <v>1.2183030751169253</v>
      </c>
      <c r="BR131" s="21">
        <f>EXP(-LN(2)/2)*BR130+(1-EXP(-LN(2)/2))/(LN(2)/2)*BL131*BO131*VLOOKUP('Données projet'!$B$11,Paramètres!$A$1:$I$89,3,0)*0.475*44/12</f>
        <v>1.3594909272446431E-14</v>
      </c>
      <c r="BS131" s="22">
        <f t="shared" si="63"/>
        <v>3.1538840017299545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-1.9065282685915009E-13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534.78683721545372</v>
      </c>
      <c r="T132" s="59">
        <f t="shared" si="88"/>
        <v>710.59298755711075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1.0603623104785078</v>
      </c>
      <c r="AA132" s="21">
        <f>EXP(-LN(2)/25)*AA131+(1-EXP(-LN(2)/25))/(LN(2)/25)*Calculateur!V132*Calculateur!X132*VLOOKUP('Données projet'!$B$9,Paramètres!$A$1:$I$89,3,0)*0.475*44/12</f>
        <v>1.3093155875917248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2.3696778980702327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-5.6843418860808015E-14</v>
      </c>
      <c r="AJ132" s="13">
        <f>AI132*VLOOKUP('Données projet'!$B$10,Paramètres!$A$1:$I$89,3,0)*VLOOKUP('Données projet'!$B$10,Paramètres!$A$1:$I$89,5,0)</f>
        <v>-3.1036506698001178E-14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207.02306964567629</v>
      </c>
      <c r="AO132" s="59">
        <f t="shared" si="90"/>
        <v>342.06887933351783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2.7724007786544749</v>
      </c>
      <c r="AV132" s="21">
        <f>EXP(-LN(2)/25)*AV131+(1-EXP(-LN(2)/25))/(LN(2)/25)*Calculateur!AQ132*Calculateur!AS132*VLOOKUP('Données projet'!$B$10,Paramètres!$A$1:$I$89,3,0)*0.475*44/12</f>
        <v>2.7626401235144793</v>
      </c>
      <c r="AW132" s="21">
        <f>EXP(-LN(2)/2)*AW131+(1-EXP(-LN(2)/2))/(LN(2)/2)*AQ132*AT132*VLOOKUP('Données projet'!$B$10,Paramètres!$A$1:$I$89,3,0)*0.475*44/12</f>
        <v>1.4064341402279513E-14</v>
      </c>
      <c r="AX132" s="21">
        <f t="shared" ref="AX132:AX153" si="114">SUM(AU132:AW132)</f>
        <v>5.5350409021689684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345.45636360520137</v>
      </c>
      <c r="BJ132" s="59">
        <f t="shared" si="92"/>
        <v>469.30074822262549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1.8976253652299262</v>
      </c>
      <c r="BQ132" s="21">
        <f>EXP(-LN(2)/25)*BQ131+(1-EXP(-LN(2)/25))/(LN(2)/25)*Calculateur!BL132*Calculateur!BN132*VLOOKUP('Données projet'!$B$11,Paramètres!$A$1:$I$89,3,0)*0.475*44/12</f>
        <v>1.1849885134600786</v>
      </c>
      <c r="BR132" s="21">
        <f>EXP(-LN(2)/2)*BR131+(1-EXP(-LN(2)/2))/(LN(2)/2)*BL132*BO132*VLOOKUP('Données projet'!$B$11,Paramètres!$A$1:$I$89,3,0)*0.475*44/12</f>
        <v>9.6130525361627445E-15</v>
      </c>
      <c r="BS132" s="22">
        <f t="shared" ref="BS132:BS153" si="117">SUM(BP132:BR132)</f>
        <v>3.0826138786900144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-1.9065282685915009E-13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534.78683721545372</v>
      </c>
      <c r="T133" s="59">
        <f t="shared" ref="T133:T196" si="142">$T$3</f>
        <v>710.59298755711075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1.0395692523271718</v>
      </c>
      <c r="AA133" s="21">
        <f>EXP(-LN(2)/25)*AA132+(1-EXP(-LN(2)/25))/(LN(2)/25)*Calculateur!V133*Calculateur!X133*VLOOKUP('Données projet'!$B$9,Paramètres!$A$1:$I$89,3,0)*0.475*44/12</f>
        <v>1.273512283995115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2.3130815363222865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-5.6843418860808015E-14</v>
      </c>
      <c r="AJ133" s="13">
        <f>AI133*VLOOKUP('Données projet'!$B$10,Paramètres!$A$1:$I$89,3,0)*VLOOKUP('Données projet'!$B$10,Paramètres!$A$1:$I$89,5,0)</f>
        <v>-3.1036506698001178E-14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207.02306964567629</v>
      </c>
      <c r="AO133" s="59">
        <f t="shared" ref="AO133:AO196" si="144">$AO$3</f>
        <v>342.06887933351783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2.7180356903825635</v>
      </c>
      <c r="AV133" s="21">
        <f>EXP(-LN(2)/25)*AV132+(1-EXP(-LN(2)/25))/(LN(2)/25)*Calculateur!AQ133*Calculateur!AS133*VLOOKUP('Données projet'!$B$10,Paramètres!$A$1:$I$89,3,0)*0.475*44/12</f>
        <v>2.687095584056046</v>
      </c>
      <c r="AW133" s="21">
        <f>EXP(-LN(2)/2)*AW132+(1-EXP(-LN(2)/2))/(LN(2)/2)*AQ133*AT133*VLOOKUP('Données projet'!$B$10,Paramètres!$A$1:$I$89,3,0)*0.475*44/12</f>
        <v>9.9449911784745612E-15</v>
      </c>
      <c r="AX133" s="21">
        <f t="shared" si="114"/>
        <v>5.4051312744386193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345.45636360520137</v>
      </c>
      <c r="BJ133" s="59">
        <f t="shared" ref="BJ133:BJ196" si="146">$BJ$3</f>
        <v>469.30074822262549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1.8604140892549528</v>
      </c>
      <c r="BQ133" s="21">
        <f>EXP(-LN(2)/25)*BQ132+(1-EXP(-LN(2)/25))/(LN(2)/25)*Calculateur!BL133*Calculateur!BN133*VLOOKUP('Données projet'!$B$11,Paramètres!$A$1:$I$89,3,0)*0.475*44/12</f>
        <v>1.1525849402436752</v>
      </c>
      <c r="BR133" s="21">
        <f>EXP(-LN(2)/2)*BR132+(1-EXP(-LN(2)/2))/(LN(2)/2)*BL133*BO133*VLOOKUP('Données projet'!$B$11,Paramètres!$A$1:$I$89,3,0)*0.475*44/12</f>
        <v>6.7974546362232156E-15</v>
      </c>
      <c r="BS133" s="22">
        <f t="shared" si="117"/>
        <v>3.0129990294986349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-1.9065282685915009E-13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534.78683721545372</v>
      </c>
      <c r="T134" s="59">
        <f t="shared" si="142"/>
        <v>710.59298755711075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1.0191839333636703</v>
      </c>
      <c r="AA134" s="21">
        <f>EXP(-LN(2)/25)*AA133+(1-EXP(-LN(2)/25))/(LN(2)/25)*Calculateur!V134*Calculateur!X134*VLOOKUP('Données projet'!$B$9,Paramètres!$A$1:$I$89,3,0)*0.475*44/12</f>
        <v>1.2386880236181681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2.2578719569818384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-5.6843418860808015E-14</v>
      </c>
      <c r="AJ134" s="13">
        <f>AI134*VLOOKUP('Données projet'!$B$10,Paramètres!$A$1:$I$89,3,0)*VLOOKUP('Données projet'!$B$10,Paramètres!$A$1:$I$89,5,0)</f>
        <v>-3.1036506698001178E-14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207.02306964567629</v>
      </c>
      <c r="AO134" s="59">
        <f t="shared" si="144"/>
        <v>342.06887933351783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2.6647366683322349</v>
      </c>
      <c r="AV134" s="21">
        <f>EXP(-LN(2)/25)*AV133+(1-EXP(-LN(2)/25))/(LN(2)/25)*Calculateur!AQ134*Calculateur!AS134*VLOOKUP('Données projet'!$B$10,Paramètres!$A$1:$I$89,3,0)*0.475*44/12</f>
        <v>2.6136168140018179</v>
      </c>
      <c r="AW134" s="21">
        <f>EXP(-LN(2)/2)*AW133+(1-EXP(-LN(2)/2))/(LN(2)/2)*AQ134*AT134*VLOOKUP('Données projet'!$B$10,Paramètres!$A$1:$I$89,3,0)*0.475*44/12</f>
        <v>7.0321707011397572E-15</v>
      </c>
      <c r="AX134" s="21">
        <f t="shared" si="114"/>
        <v>5.2783534823340599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345.45636360520137</v>
      </c>
      <c r="BJ134" s="59">
        <f t="shared" si="146"/>
        <v>469.30074822262549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1.8239325037052112</v>
      </c>
      <c r="BQ134" s="21">
        <f>EXP(-LN(2)/25)*BQ133+(1-EXP(-LN(2)/25))/(LN(2)/25)*Calculateur!BL134*Calculateur!BN134*VLOOKUP('Données projet'!$B$11,Paramètres!$A$1:$I$89,3,0)*0.475*44/12</f>
        <v>1.1210674444409041</v>
      </c>
      <c r="BR134" s="21">
        <f>EXP(-LN(2)/2)*BR133+(1-EXP(-LN(2)/2))/(LN(2)/2)*BL134*BO134*VLOOKUP('Données projet'!$B$11,Paramètres!$A$1:$I$89,3,0)*0.475*44/12</f>
        <v>4.8065262680813723E-15</v>
      </c>
      <c r="BS134" s="22">
        <f t="shared" si="117"/>
        <v>2.9449999481461204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-1.9065282685915009E-13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534.78683721545372</v>
      </c>
      <c r="T135" s="59">
        <f t="shared" si="142"/>
        <v>710.59298755711075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0.99919835807122614</v>
      </c>
      <c r="AA135" s="21">
        <f>EXP(-LN(2)/25)*AA134+(1-EXP(-LN(2)/25))/(LN(2)/25)*Calculateur!V135*Calculateur!X135*VLOOKUP('Données projet'!$B$9,Paramètres!$A$1:$I$89,3,0)*0.475*44/12</f>
        <v>1.2048160344725571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2.2040143925437832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-5.6843418860808015E-14</v>
      </c>
      <c r="AJ135" s="13">
        <f>AI135*VLOOKUP('Données projet'!$B$10,Paramètres!$A$1:$I$89,3,0)*VLOOKUP('Données projet'!$B$10,Paramètres!$A$1:$I$89,5,0)</f>
        <v>-3.1036506698001178E-14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207.02306964567629</v>
      </c>
      <c r="AO135" s="59">
        <f t="shared" si="144"/>
        <v>342.06887933351783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2.6124828075951196</v>
      </c>
      <c r="AV135" s="21">
        <f>EXP(-LN(2)/25)*AV134+(1-EXP(-LN(2)/25))/(LN(2)/25)*Calculateur!AQ135*Calculateur!AS135*VLOOKUP('Données projet'!$B$10,Paramètres!$A$1:$I$89,3,0)*0.475*44/12</f>
        <v>2.5421473247788033</v>
      </c>
      <c r="AW135" s="21">
        <f>EXP(-LN(2)/2)*AW134+(1-EXP(-LN(2)/2))/(LN(2)/2)*AQ135*AT135*VLOOKUP('Données projet'!$B$10,Paramètres!$A$1:$I$89,3,0)*0.475*44/12</f>
        <v>4.9724955892372814E-15</v>
      </c>
      <c r="AX135" s="21">
        <f t="shared" si="114"/>
        <v>5.1546301323739279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345.45636360520137</v>
      </c>
      <c r="BJ135" s="59">
        <f t="shared" si="146"/>
        <v>469.30074822262549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1.7881662997965302</v>
      </c>
      <c r="BQ135" s="21">
        <f>EXP(-LN(2)/25)*BQ134+(1-EXP(-LN(2)/25))/(LN(2)/25)*Calculateur!BL135*Calculateur!BN135*VLOOKUP('Données projet'!$B$11,Paramètres!$A$1:$I$89,3,0)*0.475*44/12</f>
        <v>1.0904117962182929</v>
      </c>
      <c r="BR135" s="21">
        <f>EXP(-LN(2)/2)*BR134+(1-EXP(-LN(2)/2))/(LN(2)/2)*BL135*BO135*VLOOKUP('Données projet'!$B$11,Paramètres!$A$1:$I$89,3,0)*0.475*44/12</f>
        <v>3.3987273181116078E-15</v>
      </c>
      <c r="BS135" s="22">
        <f t="shared" si="117"/>
        <v>2.8785780960148264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-1.9065282685915009E-13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534.78683721545372</v>
      </c>
      <c r="T136" s="59">
        <f t="shared" si="142"/>
        <v>710.59298755711075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0.97960468772026954</v>
      </c>
      <c r="AA136" s="21">
        <f>EXP(-LN(2)/25)*AA135+(1-EXP(-LN(2)/25))/(LN(2)/25)*Calculateur!V136*Calculateur!X136*VLOOKUP('Données projet'!$B$9,Paramètres!$A$1:$I$89,3,0)*0.475*44/12</f>
        <v>1.1718702766513835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2.1514749643716531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-5.6843418860808015E-14</v>
      </c>
      <c r="AJ136" s="13">
        <f>AI136*VLOOKUP('Données projet'!$B$10,Paramètres!$A$1:$I$89,3,0)*VLOOKUP('Données projet'!$B$10,Paramètres!$A$1:$I$89,5,0)</f>
        <v>-3.1036506698001178E-14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207.02306964567629</v>
      </c>
      <c r="AO136" s="59">
        <f t="shared" si="144"/>
        <v>342.06887933351783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2.5612536131953512</v>
      </c>
      <c r="AV136" s="21">
        <f>EXP(-LN(2)/25)*AV135+(1-EXP(-LN(2)/25))/(LN(2)/25)*Calculateur!AQ136*Calculateur!AS136*VLOOKUP('Données projet'!$B$10,Paramètres!$A$1:$I$89,3,0)*0.475*44/12</f>
        <v>2.4726321724970095</v>
      </c>
      <c r="AW136" s="21">
        <f>EXP(-LN(2)/2)*AW135+(1-EXP(-LN(2)/2))/(LN(2)/2)*AQ136*AT136*VLOOKUP('Données projet'!$B$10,Paramètres!$A$1:$I$89,3,0)*0.475*44/12</f>
        <v>3.5160853505698794E-15</v>
      </c>
      <c r="AX136" s="21">
        <f t="shared" si="114"/>
        <v>5.0338857856923642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345.45636360520137</v>
      </c>
      <c r="BJ136" s="59">
        <f t="shared" si="146"/>
        <v>469.30074822262549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1.753101449331268</v>
      </c>
      <c r="BQ136" s="21">
        <f>EXP(-LN(2)/25)*BQ135+(1-EXP(-LN(2)/25))/(LN(2)/25)*Calculateur!BL136*Calculateur!BN136*VLOOKUP('Données projet'!$B$11,Paramètres!$A$1:$I$89,3,0)*0.475*44/12</f>
        <v>1.0605944283084394</v>
      </c>
      <c r="BR136" s="21">
        <f>EXP(-LN(2)/2)*BR135+(1-EXP(-LN(2)/2))/(LN(2)/2)*BL136*BO136*VLOOKUP('Données projet'!$B$11,Paramètres!$A$1:$I$89,3,0)*0.475*44/12</f>
        <v>2.4032631340406861E-15</v>
      </c>
      <c r="BS136" s="22">
        <f t="shared" si="117"/>
        <v>2.8136958776397099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-1.9065282685915009E-13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534.78683721545372</v>
      </c>
      <c r="T137" s="59">
        <f t="shared" si="142"/>
        <v>710.59298755711075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0.96039523729393639</v>
      </c>
      <c r="AA137" s="21">
        <f>EXP(-LN(2)/25)*AA136+(1-EXP(-LN(2)/25))/(LN(2)/25)*Calculateur!V137*Calculateur!X137*VLOOKUP('Données projet'!$B$9,Paramètres!$A$1:$I$89,3,0)*0.475*44/12</f>
        <v>1.1398254223103719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2.1002206596043083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-5.6843418860808015E-14</v>
      </c>
      <c r="AJ137" s="13">
        <f>AI137*VLOOKUP('Données projet'!$B$10,Paramètres!$A$1:$I$89,3,0)*VLOOKUP('Données projet'!$B$10,Paramètres!$A$1:$I$89,5,0)</f>
        <v>-3.1036506698001178E-14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207.02306964567629</v>
      </c>
      <c r="AO137" s="59">
        <f t="shared" si="144"/>
        <v>342.06887933351783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2.5110289920510387</v>
      </c>
      <c r="AV137" s="21">
        <f>EXP(-LN(2)/25)*AV136+(1-EXP(-LN(2)/25))/(LN(2)/25)*Calculateur!AQ137*Calculateur!AS137*VLOOKUP('Données projet'!$B$10,Paramètres!$A$1:$I$89,3,0)*0.475*44/12</f>
        <v>2.4050179157100042</v>
      </c>
      <c r="AW137" s="21">
        <f>EXP(-LN(2)/2)*AW136+(1-EXP(-LN(2)/2))/(LN(2)/2)*AQ137*AT137*VLOOKUP('Données projet'!$B$10,Paramètres!$A$1:$I$89,3,0)*0.475*44/12</f>
        <v>2.4862477946186411E-15</v>
      </c>
      <c r="AX137" s="21">
        <f t="shared" si="114"/>
        <v>4.9160469077610456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345.45636360520137</v>
      </c>
      <c r="BJ137" s="59">
        <f t="shared" si="146"/>
        <v>469.30074822262549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1.7187241991961826</v>
      </c>
      <c r="BQ137" s="21">
        <f>EXP(-LN(2)/25)*BQ136+(1-EXP(-LN(2)/25))/(LN(2)/25)*Calculateur!BL137*Calculateur!BN137*VLOOKUP('Données projet'!$B$11,Paramètres!$A$1:$I$89,3,0)*0.475*44/12</f>
        <v>1.0315924178921081</v>
      </c>
      <c r="BR137" s="21">
        <f>EXP(-LN(2)/2)*BR136+(1-EXP(-LN(2)/2))/(LN(2)/2)*BL137*BO137*VLOOKUP('Données projet'!$B$11,Paramètres!$A$1:$I$89,3,0)*0.475*44/12</f>
        <v>1.6993636590558039E-15</v>
      </c>
      <c r="BS137" s="22">
        <f t="shared" si="117"/>
        <v>2.7503166170882922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-1.9065282685915009E-13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534.78683721545372</v>
      </c>
      <c r="T138" s="59">
        <f t="shared" si="142"/>
        <v>710.59298755711075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0.94156247247385572</v>
      </c>
      <c r="AA138" s="21">
        <f>EXP(-LN(2)/25)*AA137+(1-EXP(-LN(2)/25))/(LN(2)/25)*Calculateur!V138*Calculateur!X138*VLOOKUP('Données projet'!$B$9,Paramètres!$A$1:$I$89,3,0)*0.475*44/12</f>
        <v>1.1086568361964808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2.0502193086703366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-5.6843418860808015E-14</v>
      </c>
      <c r="AJ138" s="13">
        <f>AI138*VLOOKUP('Données projet'!$B$10,Paramètres!$A$1:$I$89,3,0)*VLOOKUP('Données projet'!$B$10,Paramètres!$A$1:$I$89,5,0)</f>
        <v>-3.1036506698001178E-14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207.02306964567629</v>
      </c>
      <c r="AO138" s="59">
        <f t="shared" si="144"/>
        <v>342.06887933351783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2.4617892450933723</v>
      </c>
      <c r="AV138" s="21">
        <f>EXP(-LN(2)/25)*AV137+(1-EXP(-LN(2)/25))/(LN(2)/25)*Calculateur!AQ138*Calculateur!AS138*VLOOKUP('Données projet'!$B$10,Paramètres!$A$1:$I$89,3,0)*0.475*44/12</f>
        <v>2.3392525743305188</v>
      </c>
      <c r="AW138" s="21">
        <f>EXP(-LN(2)/2)*AW137+(1-EXP(-LN(2)/2))/(LN(2)/2)*AQ138*AT138*VLOOKUP('Données projet'!$B$10,Paramètres!$A$1:$I$89,3,0)*0.475*44/12</f>
        <v>1.7580426752849399E-15</v>
      </c>
      <c r="AX138" s="21">
        <f t="shared" si="114"/>
        <v>4.8010418194238929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345.45636360520137</v>
      </c>
      <c r="BJ138" s="59">
        <f t="shared" si="146"/>
        <v>469.30074822262549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1.6850210659681941</v>
      </c>
      <c r="BQ138" s="21">
        <f>EXP(-LN(2)/25)*BQ137+(1-EXP(-LN(2)/25))/(LN(2)/25)*Calculateur!BL138*Calculateur!BN138*VLOOKUP('Données projet'!$B$11,Paramètres!$A$1:$I$89,3,0)*0.475*44/12</f>
        <v>1.0033834689757608</v>
      </c>
      <c r="BR138" s="21">
        <f>EXP(-LN(2)/2)*BR137+(1-EXP(-LN(2)/2))/(LN(2)/2)*BL138*BO138*VLOOKUP('Données projet'!$B$11,Paramètres!$A$1:$I$89,3,0)*0.475*44/12</f>
        <v>1.2016315670203431E-15</v>
      </c>
      <c r="BS138" s="22">
        <f t="shared" si="117"/>
        <v>2.6884045349439565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-1.9065282685915009E-13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534.78683721545372</v>
      </c>
      <c r="T139" s="59">
        <f t="shared" si="142"/>
        <v>710.59298755711075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0.92309900668504452</v>
      </c>
      <c r="AA139" s="21">
        <f>EXP(-LN(2)/25)*AA138+(1-EXP(-LN(2)/25))/(LN(2)/25)*Calculateur!V139*Calculateur!X139*VLOOKUP('Données projet'!$B$9,Paramètres!$A$1:$I$89,3,0)*0.475*44/12</f>
        <v>1.0783405567089588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2.0014395633940034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-5.6843418860808015E-14</v>
      </c>
      <c r="AJ139" s="13">
        <f>AI139*VLOOKUP('Données projet'!$B$10,Paramètres!$A$1:$I$89,3,0)*VLOOKUP('Données projet'!$B$10,Paramètres!$A$1:$I$89,5,0)</f>
        <v>-3.1036506698001178E-14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207.02306964567629</v>
      </c>
      <c r="AO139" s="59">
        <f t="shared" si="144"/>
        <v>342.06887933351783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2.4135150595402655</v>
      </c>
      <c r="AV139" s="21">
        <f>EXP(-LN(2)/25)*AV138+(1-EXP(-LN(2)/25))/(LN(2)/25)*Calculateur!AQ139*Calculateur!AS139*VLOOKUP('Données projet'!$B$10,Paramètres!$A$1:$I$89,3,0)*0.475*44/12</f>
        <v>2.2752855896695041</v>
      </c>
      <c r="AW139" s="21">
        <f>EXP(-LN(2)/2)*AW138+(1-EXP(-LN(2)/2))/(LN(2)/2)*AQ139*AT139*VLOOKUP('Données projet'!$B$10,Paramètres!$A$1:$I$89,3,0)*0.475*44/12</f>
        <v>1.2431238973093207E-15</v>
      </c>
      <c r="AX139" s="21">
        <f t="shared" si="114"/>
        <v>4.68880064920977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345.45636360520137</v>
      </c>
      <c r="BJ139" s="59">
        <f t="shared" si="146"/>
        <v>469.30074822262549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1.6519788306259251</v>
      </c>
      <c r="BQ139" s="21">
        <f>EXP(-LN(2)/25)*BQ138+(1-EXP(-LN(2)/25))/(LN(2)/25)*Calculateur!BL139*Calculateur!BN139*VLOOKUP('Données projet'!$B$11,Paramètres!$A$1:$I$89,3,0)*0.475*44/12</f>
        <v>0.9759458952509753</v>
      </c>
      <c r="BR139" s="21">
        <f>EXP(-LN(2)/2)*BR138+(1-EXP(-LN(2)/2))/(LN(2)/2)*BL139*BO139*VLOOKUP('Données projet'!$B$11,Paramètres!$A$1:$I$89,3,0)*0.475*44/12</f>
        <v>8.4968182952790195E-16</v>
      </c>
      <c r="BS139" s="22">
        <f t="shared" si="117"/>
        <v>2.6279247258769014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-1.9065282685915009E-13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534.78683721545372</v>
      </c>
      <c r="T140" s="59">
        <f t="shared" si="142"/>
        <v>710.59298755711075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0.90499759819874981</v>
      </c>
      <c r="AA140" s="21">
        <f>EXP(-LN(2)/25)*AA139+(1-EXP(-LN(2)/25))/(LN(2)/25)*Calculateur!V140*Calculateur!X140*VLOOKUP('Données projet'!$B$9,Paramètres!$A$1:$I$89,3,0)*0.475*44/12</f>
        <v>1.048853277478287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1.9538508756770367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-5.6843418860808015E-14</v>
      </c>
      <c r="AJ140" s="13">
        <f>AI140*VLOOKUP('Données projet'!$B$10,Paramètres!$A$1:$I$89,3,0)*VLOOKUP('Données projet'!$B$10,Paramètres!$A$1:$I$89,5,0)</f>
        <v>-3.1036506698001178E-14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207.02306964567629</v>
      </c>
      <c r="AO140" s="59">
        <f t="shared" si="144"/>
        <v>342.06887933351783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2.3661875013215097</v>
      </c>
      <c r="AV140" s="21">
        <f>EXP(-LN(2)/25)*AV139+(1-EXP(-LN(2)/25))/(LN(2)/25)*Calculateur!AQ140*Calculateur!AS140*VLOOKUP('Données projet'!$B$10,Paramètres!$A$1:$I$89,3,0)*0.475*44/12</f>
        <v>2.2130677855679224</v>
      </c>
      <c r="AW140" s="21">
        <f>EXP(-LN(2)/2)*AW139+(1-EXP(-LN(2)/2))/(LN(2)/2)*AQ140*AT140*VLOOKUP('Données projet'!$B$10,Paramètres!$A$1:$I$89,3,0)*0.475*44/12</f>
        <v>8.7902133764247014E-16</v>
      </c>
      <c r="AX140" s="21">
        <f t="shared" si="114"/>
        <v>4.579255286889433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345.45636360520137</v>
      </c>
      <c r="BJ140" s="59">
        <f t="shared" si="146"/>
        <v>469.30074822262549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1.6195845333649443</v>
      </c>
      <c r="BQ140" s="21">
        <f>EXP(-LN(2)/25)*BQ139+(1-EXP(-LN(2)/25))/(LN(2)/25)*Calculateur!BL140*Calculateur!BN140*VLOOKUP('Données projet'!$B$11,Paramètres!$A$1:$I$89,3,0)*0.475*44/12</f>
        <v>0.94925860342257329</v>
      </c>
      <c r="BR140" s="21">
        <f>EXP(-LN(2)/2)*BR139+(1-EXP(-LN(2)/2))/(LN(2)/2)*BL140*BO140*VLOOKUP('Données projet'!$B$11,Paramètres!$A$1:$I$89,3,0)*0.475*44/12</f>
        <v>6.0081578351017153E-16</v>
      </c>
      <c r="BS140" s="22">
        <f t="shared" si="117"/>
        <v>2.568843136787518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-1.9065282685915009E-13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534.78683721545372</v>
      </c>
      <c r="T141" s="59">
        <f t="shared" si="142"/>
        <v>710.59298755711075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0.8872511472921023</v>
      </c>
      <c r="AA141" s="21">
        <f>EXP(-LN(2)/25)*AA140+(1-EXP(-LN(2)/25))/(LN(2)/25)*Calculateur!V141*Calculateur!X141*VLOOKUP('Données projet'!$B$9,Paramètres!$A$1:$I$89,3,0)*0.475*44/12</f>
        <v>1.0201723294488465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1.9074234767409488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-5.6843418860808015E-14</v>
      </c>
      <c r="AJ141" s="13">
        <f>AI141*VLOOKUP('Données projet'!$B$10,Paramètres!$A$1:$I$89,3,0)*VLOOKUP('Données projet'!$B$10,Paramètres!$A$1:$I$89,5,0)</f>
        <v>-3.1036506698001178E-14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207.02306964567629</v>
      </c>
      <c r="AO141" s="59">
        <f t="shared" si="144"/>
        <v>342.06887933351783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2.3197880076524635</v>
      </c>
      <c r="AV141" s="21">
        <f>EXP(-LN(2)/25)*AV140+(1-EXP(-LN(2)/25))/(LN(2)/25)*Calculateur!AQ141*Calculateur!AS141*VLOOKUP('Données projet'!$B$10,Paramètres!$A$1:$I$89,3,0)*0.475*44/12</f>
        <v>2.1525513305913906</v>
      </c>
      <c r="AW141" s="21">
        <f>EXP(-LN(2)/2)*AW140+(1-EXP(-LN(2)/2))/(LN(2)/2)*AQ141*AT141*VLOOKUP('Données projet'!$B$10,Paramètres!$A$1:$I$89,3,0)*0.475*44/12</f>
        <v>6.2156194865466047E-16</v>
      </c>
      <c r="AX141" s="21">
        <f t="shared" si="114"/>
        <v>4.472339338243855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345.45636360520137</v>
      </c>
      <c r="BJ141" s="59">
        <f t="shared" si="146"/>
        <v>469.30074822262549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1.5878254685146811</v>
      </c>
      <c r="BQ141" s="21">
        <f>EXP(-LN(2)/25)*BQ140+(1-EXP(-LN(2)/25))/(LN(2)/25)*Calculateur!BL141*Calculateur!BN141*VLOOKUP('Données projet'!$B$11,Paramètres!$A$1:$I$89,3,0)*0.475*44/12</f>
        <v>0.92330107699264263</v>
      </c>
      <c r="BR141" s="21">
        <f>EXP(-LN(2)/2)*BR140+(1-EXP(-LN(2)/2))/(LN(2)/2)*BL141*BO141*VLOOKUP('Données projet'!$B$11,Paramètres!$A$1:$I$89,3,0)*0.475*44/12</f>
        <v>4.2484091476395098E-16</v>
      </c>
      <c r="BS141" s="22">
        <f t="shared" si="117"/>
        <v>2.5111265455073242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-1.9065282685915009E-13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534.78683721545372</v>
      </c>
      <c r="T142" s="59">
        <f t="shared" si="142"/>
        <v>710.59298755711075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0.86985269346346794</v>
      </c>
      <c r="AA142" s="21">
        <f>EXP(-LN(2)/25)*AA141+(1-EXP(-LN(2)/25))/(LN(2)/25)*Calculateur!V142*Calculateur!X142*VLOOKUP('Données projet'!$B$9,Paramètres!$A$1:$I$89,3,0)*0.475*44/12</f>
        <v>0.99227566345153662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1.8621283569150044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-5.6843418860808015E-14</v>
      </c>
      <c r="AJ142" s="13">
        <f>AI142*VLOOKUP('Données projet'!$B$10,Paramètres!$A$1:$I$89,3,0)*VLOOKUP('Données projet'!$B$10,Paramètres!$A$1:$I$89,5,0)</f>
        <v>-3.1036506698001178E-14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207.02306964567629</v>
      </c>
      <c r="AO142" s="59">
        <f t="shared" si="144"/>
        <v>342.06887933351783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2.2742983797533705</v>
      </c>
      <c r="AV142" s="21">
        <f>EXP(-LN(2)/25)*AV141+(1-EXP(-LN(2)/25))/(LN(2)/25)*Calculateur!AQ142*Calculateur!AS142*VLOOKUP('Données projet'!$B$10,Paramètres!$A$1:$I$89,3,0)*0.475*44/12</f>
        <v>2.0936897012586142</v>
      </c>
      <c r="AW142" s="21">
        <f>EXP(-LN(2)/2)*AW141+(1-EXP(-LN(2)/2))/(LN(2)/2)*AQ142*AT142*VLOOKUP('Données projet'!$B$10,Paramètres!$A$1:$I$89,3,0)*0.475*44/12</f>
        <v>4.3951066882123512E-16</v>
      </c>
      <c r="AX142" s="21">
        <f t="shared" si="114"/>
        <v>4.3679880810119851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345.45636360520137</v>
      </c>
      <c r="BJ142" s="59">
        <f t="shared" si="146"/>
        <v>469.30074822262549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1.5566891795550148</v>
      </c>
      <c r="BQ142" s="21">
        <f>EXP(-LN(2)/25)*BQ141+(1-EXP(-LN(2)/25))/(LN(2)/25)*Calculateur!BL142*Calculateur!BN142*VLOOKUP('Données projet'!$B$11,Paramètres!$A$1:$I$89,3,0)*0.475*44/12</f>
        <v>0.89805336048798545</v>
      </c>
      <c r="BR142" s="21">
        <f>EXP(-LN(2)/2)*BR141+(1-EXP(-LN(2)/2))/(LN(2)/2)*BL142*BO142*VLOOKUP('Données projet'!$B$11,Paramètres!$A$1:$I$89,3,0)*0.475*44/12</f>
        <v>3.0040789175508577E-16</v>
      </c>
      <c r="BS142" s="22">
        <f t="shared" si="117"/>
        <v>2.4547425400430005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-1.9065282685915009E-13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534.78683721545372</v>
      </c>
      <c r="T143" s="59">
        <f t="shared" si="142"/>
        <v>710.59298755711075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0.85279541270240411</v>
      </c>
      <c r="AA143" s="21">
        <f>EXP(-LN(2)/25)*AA142+(1-EXP(-LN(2)/25))/(LN(2)/25)*Calculateur!V143*Calculateur!X143*VLOOKUP('Données projet'!$B$9,Paramètres!$A$1:$I$89,3,0)*0.475*44/12</f>
        <v>0.96514183325294511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1.8179372459553491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-5.6843418860808015E-14</v>
      </c>
      <c r="AJ143" s="13">
        <f>AI143*VLOOKUP('Données projet'!$B$10,Paramètres!$A$1:$I$89,3,0)*VLOOKUP('Données projet'!$B$10,Paramètres!$A$1:$I$89,5,0)</f>
        <v>-3.1036506698001178E-14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207.02306964567629</v>
      </c>
      <c r="AO143" s="59">
        <f t="shared" si="144"/>
        <v>342.06887933351783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2.2297007757114455</v>
      </c>
      <c r="AV143" s="21">
        <f>EXP(-LN(2)/25)*AV142+(1-EXP(-LN(2)/25))/(LN(2)/25)*Calculateur!AQ143*Calculateur!AS143*VLOOKUP('Données projet'!$B$10,Paramètres!$A$1:$I$89,3,0)*0.475*44/12</f>
        <v>2.0364376462753411</v>
      </c>
      <c r="AW143" s="21">
        <f>EXP(-LN(2)/2)*AW142+(1-EXP(-LN(2)/2))/(LN(2)/2)*AQ143*AT143*VLOOKUP('Données projet'!$B$10,Paramètres!$A$1:$I$89,3,0)*0.475*44/12</f>
        <v>3.1078097432733028E-16</v>
      </c>
      <c r="AX143" s="21">
        <f t="shared" si="114"/>
        <v>4.2661384219867866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345.45636360520137</v>
      </c>
      <c r="BJ143" s="59">
        <f t="shared" si="146"/>
        <v>469.30074822262549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1.5261634542305864</v>
      </c>
      <c r="BQ143" s="21">
        <f>EXP(-LN(2)/25)*BQ142+(1-EXP(-LN(2)/25))/(LN(2)/25)*Calculateur!BL143*Calculateur!BN143*VLOOKUP('Données projet'!$B$11,Paramètres!$A$1:$I$89,3,0)*0.475*44/12</f>
        <v>0.87349604411886783</v>
      </c>
      <c r="BR143" s="21">
        <f>EXP(-LN(2)/2)*BR142+(1-EXP(-LN(2)/2))/(LN(2)/2)*BL143*BO143*VLOOKUP('Données projet'!$B$11,Paramètres!$A$1:$I$89,3,0)*0.475*44/12</f>
        <v>2.1242045738197549E-16</v>
      </c>
      <c r="BS143" s="22">
        <f t="shared" si="117"/>
        <v>2.3996594983494544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-1.9065282685915009E-13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534.78683721545372</v>
      </c>
      <c r="T144" s="59">
        <f t="shared" si="142"/>
        <v>710.59298755711075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0.83607261481315076</v>
      </c>
      <c r="AA144" s="21">
        <f>EXP(-LN(2)/25)*AA143+(1-EXP(-LN(2)/25))/(LN(2)/25)*Calculateur!V144*Calculateur!X144*VLOOKUP('Données projet'!$B$9,Paramètres!$A$1:$I$89,3,0)*0.475*44/12</f>
        <v>0.93874997906804014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1.7748225938811908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-5.6843418860808015E-14</v>
      </c>
      <c r="AJ144" s="13">
        <f>AI144*VLOOKUP('Données projet'!$B$10,Paramètres!$A$1:$I$89,3,0)*VLOOKUP('Données projet'!$B$10,Paramètres!$A$1:$I$89,5,0)</f>
        <v>-3.1036506698001178E-14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207.02306964567629</v>
      </c>
      <c r="AO144" s="59">
        <f t="shared" si="144"/>
        <v>342.06887933351783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2.18597770348293</v>
      </c>
      <c r="AV144" s="21">
        <f>EXP(-LN(2)/25)*AV143+(1-EXP(-LN(2)/25))/(LN(2)/25)*Calculateur!AQ144*Calculateur!AS144*VLOOKUP('Données projet'!$B$10,Paramètres!$A$1:$I$89,3,0)*0.475*44/12</f>
        <v>1.9807511517463403</v>
      </c>
      <c r="AW144" s="21">
        <f>EXP(-LN(2)/2)*AW143+(1-EXP(-LN(2)/2))/(LN(2)/2)*AQ144*AT144*VLOOKUP('Données projet'!$B$10,Paramètres!$A$1:$I$89,3,0)*0.475*44/12</f>
        <v>2.1975533441061758E-16</v>
      </c>
      <c r="AX144" s="21">
        <f t="shared" si="114"/>
        <v>4.1667288552292705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345.45636360520137</v>
      </c>
      <c r="BJ144" s="59">
        <f t="shared" si="146"/>
        <v>469.30074822262549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1.4962363197609161</v>
      </c>
      <c r="BQ144" s="21">
        <f>EXP(-LN(2)/25)*BQ143+(1-EXP(-LN(2)/25))/(LN(2)/25)*Calculateur!BL144*Calculateur!BN144*VLOOKUP('Données projet'!$B$11,Paramètres!$A$1:$I$89,3,0)*0.475*44/12</f>
        <v>0.84961024885727687</v>
      </c>
      <c r="BR144" s="21">
        <f>EXP(-LN(2)/2)*BR143+(1-EXP(-LN(2)/2))/(LN(2)/2)*BL144*BO144*VLOOKUP('Données projet'!$B$11,Paramètres!$A$1:$I$89,3,0)*0.475*44/12</f>
        <v>1.5020394587754288E-16</v>
      </c>
      <c r="BS144" s="22">
        <f t="shared" si="117"/>
        <v>2.3458465686181929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-1.9065282685915009E-13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534.78683721545372</v>
      </c>
      <c r="T145" s="59">
        <f t="shared" si="142"/>
        <v>710.59298755711075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0.81967774079060618</v>
      </c>
      <c r="AA145" s="21">
        <f>EXP(-LN(2)/25)*AA144+(1-EXP(-LN(2)/25))/(LN(2)/25)*Calculateur!V145*Calculateur!X145*VLOOKUP('Données projet'!$B$9,Paramètres!$A$1:$I$89,3,0)*0.475*44/12</f>
        <v>0.91307981152370876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1.7327575523143151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-5.6843418860808015E-14</v>
      </c>
      <c r="AJ145" s="13">
        <f>AI145*VLOOKUP('Données projet'!$B$10,Paramètres!$A$1:$I$89,3,0)*VLOOKUP('Données projet'!$B$10,Paramètres!$A$1:$I$89,5,0)</f>
        <v>-3.1036506698001178E-14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207.02306964567629</v>
      </c>
      <c r="AO145" s="59">
        <f t="shared" si="144"/>
        <v>342.06887933351783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2.1431120140323747</v>
      </c>
      <c r="AV145" s="21">
        <f>EXP(-LN(2)/25)*AV144+(1-EXP(-LN(2)/25))/(LN(2)/25)*Calculateur!AQ145*Calculateur!AS145*VLOOKUP('Données projet'!$B$10,Paramètres!$A$1:$I$89,3,0)*0.475*44/12</f>
        <v>1.9265874073386606</v>
      </c>
      <c r="AW145" s="21">
        <f>EXP(-LN(2)/2)*AW144+(1-EXP(-LN(2)/2))/(LN(2)/2)*AQ145*AT145*VLOOKUP('Données projet'!$B$10,Paramètres!$A$1:$I$89,3,0)*0.475*44/12</f>
        <v>1.5539048716366517E-16</v>
      </c>
      <c r="AX145" s="21">
        <f t="shared" si="114"/>
        <v>4.0696994213710358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345.45636360520137</v>
      </c>
      <c r="BJ145" s="59">
        <f t="shared" si="146"/>
        <v>469.30074822262549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1.4668960381444465</v>
      </c>
      <c r="BQ145" s="21">
        <f>EXP(-LN(2)/25)*BQ144+(1-EXP(-LN(2)/25))/(LN(2)/25)*Calculateur!BL145*Calculateur!BN145*VLOOKUP('Données projet'!$B$11,Paramètres!$A$1:$I$89,3,0)*0.475*44/12</f>
        <v>0.82637761192321346</v>
      </c>
      <c r="BR145" s="21">
        <f>EXP(-LN(2)/2)*BR144+(1-EXP(-LN(2)/2))/(LN(2)/2)*BL145*BO145*VLOOKUP('Données projet'!$B$11,Paramètres!$A$1:$I$89,3,0)*0.475*44/12</f>
        <v>1.0621022869098774E-16</v>
      </c>
      <c r="BS145" s="22">
        <f t="shared" si="117"/>
        <v>2.2932736500676598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-1.9065282685915009E-13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534.78683721545372</v>
      </c>
      <c r="T146" s="59">
        <f t="shared" si="142"/>
        <v>710.59298755711075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0.80360436024775794</v>
      </c>
      <c r="AA146" s="21">
        <f>EXP(-LN(2)/25)*AA145+(1-EXP(-LN(2)/25))/(LN(2)/25)*Calculateur!V146*Calculateur!X146*VLOOKUP('Données projet'!$B$9,Paramètres!$A$1:$I$89,3,0)*0.475*44/12</f>
        <v>0.88811159606081258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1.6917159563085704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-5.6843418860808015E-14</v>
      </c>
      <c r="AJ146" s="13">
        <f>AI146*VLOOKUP('Données projet'!$B$10,Paramètres!$A$1:$I$89,3,0)*VLOOKUP('Données projet'!$B$10,Paramètres!$A$1:$I$89,5,0)</f>
        <v>-3.1036506698001178E-14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207.02306964567629</v>
      </c>
      <c r="AO146" s="59">
        <f t="shared" si="144"/>
        <v>342.06887933351783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2.101086894606456</v>
      </c>
      <c r="AV146" s="21">
        <f>EXP(-LN(2)/25)*AV145+(1-EXP(-LN(2)/25))/(LN(2)/25)*Calculateur!AQ146*Calculateur!AS146*VLOOKUP('Données projet'!$B$10,Paramètres!$A$1:$I$89,3,0)*0.475*44/12</f>
        <v>1.8739047733701564</v>
      </c>
      <c r="AW146" s="21">
        <f>EXP(-LN(2)/2)*AW145+(1-EXP(-LN(2)/2))/(LN(2)/2)*AQ146*AT146*VLOOKUP('Données projet'!$B$10,Paramètres!$A$1:$I$89,3,0)*0.475*44/12</f>
        <v>1.0987766720530882E-16</v>
      </c>
      <c r="AX146" s="21">
        <f t="shared" si="114"/>
        <v>3.9749916679766124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345.45636360520137</v>
      </c>
      <c r="BJ146" s="59">
        <f t="shared" si="146"/>
        <v>469.30074822262549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1.4381311015546709</v>
      </c>
      <c r="BQ146" s="21">
        <f>EXP(-LN(2)/25)*BQ145+(1-EXP(-LN(2)/25))/(LN(2)/25)*Calculateur!BL146*Calculateur!BN146*VLOOKUP('Données projet'!$B$11,Paramètres!$A$1:$I$89,3,0)*0.475*44/12</f>
        <v>0.80378027266786334</v>
      </c>
      <c r="BR146" s="21">
        <f>EXP(-LN(2)/2)*BR145+(1-EXP(-LN(2)/2))/(LN(2)/2)*BL146*BO146*VLOOKUP('Données projet'!$B$11,Paramètres!$A$1:$I$89,3,0)*0.475*44/12</f>
        <v>7.5101972938771441E-17</v>
      </c>
      <c r="BS146" s="22">
        <f t="shared" si="117"/>
        <v>2.2419113742225343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-1.9065282685915009E-13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534.78683721545372</v>
      </c>
      <c r="T147" s="59">
        <f t="shared" si="142"/>
        <v>710.59298755711075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0.78784616889356085</v>
      </c>
      <c r="AA147" s="21">
        <f>EXP(-LN(2)/25)*AA146+(1-EXP(-LN(2)/25))/(LN(2)/25)*Calculateur!V147*Calculateur!X147*VLOOKUP('Données projet'!$B$9,Paramètres!$A$1:$I$89,3,0)*0.475*44/12</f>
        <v>0.86382613776277062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1.6516723066563315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-5.6843418860808015E-14</v>
      </c>
      <c r="AJ147" s="13">
        <f>AI147*VLOOKUP('Données projet'!$B$10,Paramètres!$A$1:$I$89,3,0)*VLOOKUP('Données projet'!$B$10,Paramètres!$A$1:$I$89,5,0)</f>
        <v>-3.1036506698001178E-14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207.02306964567629</v>
      </c>
      <c r="AO147" s="59">
        <f t="shared" si="144"/>
        <v>342.06887933351783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2.0598858621396881</v>
      </c>
      <c r="AV147" s="21">
        <f>EXP(-LN(2)/25)*AV146+(1-EXP(-LN(2)/25))/(LN(2)/25)*Calculateur!AQ147*Calculateur!AS147*VLOOKUP('Données projet'!$B$10,Paramètres!$A$1:$I$89,3,0)*0.475*44/12</f>
        <v>1.8226627487979803</v>
      </c>
      <c r="AW147" s="21">
        <f>EXP(-LN(2)/2)*AW146+(1-EXP(-LN(2)/2))/(LN(2)/2)*AQ147*AT147*VLOOKUP('Données projet'!$B$10,Paramètres!$A$1:$I$89,3,0)*0.475*44/12</f>
        <v>7.7695243581832596E-17</v>
      </c>
      <c r="AX147" s="21">
        <f t="shared" si="114"/>
        <v>3.8825486109376683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345.45636360520137</v>
      </c>
      <c r="BJ147" s="59">
        <f t="shared" si="146"/>
        <v>469.30074822262549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1.4099302278265422</v>
      </c>
      <c r="BQ147" s="21">
        <f>EXP(-LN(2)/25)*BQ146+(1-EXP(-LN(2)/25))/(LN(2)/25)*Calculateur!BL147*Calculateur!BN147*VLOOKUP('Données projet'!$B$11,Paramètres!$A$1:$I$89,3,0)*0.475*44/12</f>
        <v>0.78180085884279316</v>
      </c>
      <c r="BR147" s="21">
        <f>EXP(-LN(2)/2)*BR146+(1-EXP(-LN(2)/2))/(LN(2)/2)*BL147*BO147*VLOOKUP('Données projet'!$B$11,Paramètres!$A$1:$I$89,3,0)*0.475*44/12</f>
        <v>5.3105114345493872E-17</v>
      </c>
      <c r="BS147" s="22">
        <f t="shared" si="117"/>
        <v>2.1917310866693356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-1.9065282685915009E-13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534.78683721545372</v>
      </c>
      <c r="T148" s="59">
        <f t="shared" si="142"/>
        <v>710.59298755711075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0.77239698606027185</v>
      </c>
      <c r="AA148" s="21">
        <f>EXP(-LN(2)/25)*AA147+(1-EXP(-LN(2)/25))/(LN(2)/25)*Calculateur!V148*Calculateur!X148*VLOOKUP('Données projet'!$B$9,Paramètres!$A$1:$I$89,3,0)*0.475*44/12</f>
        <v>0.84020476659900534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1.6126017526592773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-5.6843418860808015E-14</v>
      </c>
      <c r="AJ148" s="13">
        <f>AI148*VLOOKUP('Données projet'!$B$10,Paramètres!$A$1:$I$89,3,0)*VLOOKUP('Données projet'!$B$10,Paramètres!$A$1:$I$89,5,0)</f>
        <v>-3.1036506698001178E-14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207.02306964567629</v>
      </c>
      <c r="AO148" s="59">
        <f t="shared" si="144"/>
        <v>342.06887933351783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2.019492756789445</v>
      </c>
      <c r="AV148" s="21">
        <f>EXP(-LN(2)/25)*AV147+(1-EXP(-LN(2)/25))/(LN(2)/25)*Calculateur!AQ148*Calculateur!AS148*VLOOKUP('Données projet'!$B$10,Paramètres!$A$1:$I$89,3,0)*0.475*44/12</f>
        <v>1.7728219400824312</v>
      </c>
      <c r="AW148" s="21">
        <f>EXP(-LN(2)/2)*AW147+(1-EXP(-LN(2)/2))/(LN(2)/2)*AQ148*AT148*VLOOKUP('Données projet'!$B$10,Paramètres!$A$1:$I$89,3,0)*0.475*44/12</f>
        <v>5.4938833602654415E-17</v>
      </c>
      <c r="AX148" s="21">
        <f t="shared" si="114"/>
        <v>3.7923146968718759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345.45636360520137</v>
      </c>
      <c r="BJ148" s="59">
        <f t="shared" si="146"/>
        <v>469.30074822262549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1.3822823560313875</v>
      </c>
      <c r="BQ148" s="21">
        <f>EXP(-LN(2)/25)*BQ147+(1-EXP(-LN(2)/25))/(LN(2)/25)*Calculateur!BL148*Calculateur!BN148*VLOOKUP('Données projet'!$B$11,Paramètres!$A$1:$I$89,3,0)*0.475*44/12</f>
        <v>0.76042247324461665</v>
      </c>
      <c r="BR148" s="21">
        <f>EXP(-LN(2)/2)*BR147+(1-EXP(-LN(2)/2))/(LN(2)/2)*BL148*BO148*VLOOKUP('Données projet'!$B$11,Paramètres!$A$1:$I$89,3,0)*0.475*44/12</f>
        <v>3.7550986469385721E-17</v>
      </c>
      <c r="BS148" s="22">
        <f t="shared" si="117"/>
        <v>2.142704829276004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-1.9065282685915009E-13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534.78683721545372</v>
      </c>
      <c r="T149" s="59">
        <f t="shared" si="142"/>
        <v>710.59298755711075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0.75725075227927263</v>
      </c>
      <c r="AA149" s="21">
        <f>EXP(-LN(2)/25)*AA148+(1-EXP(-LN(2)/25))/(LN(2)/25)*Calculateur!V149*Calculateur!X149*VLOOKUP('Données projet'!$B$9,Paramètres!$A$1:$I$89,3,0)*0.475*44/12</f>
        <v>0.81722932307190721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1.5744800753511798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-5.6843418860808015E-14</v>
      </c>
      <c r="AJ149" s="13">
        <f>AI149*VLOOKUP('Données projet'!$B$10,Paramètres!$A$1:$I$89,3,0)*VLOOKUP('Données projet'!$B$10,Paramètres!$A$1:$I$89,5,0)</f>
        <v>-3.1036506698001178E-14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207.02306964567629</v>
      </c>
      <c r="AO149" s="59">
        <f t="shared" si="144"/>
        <v>342.06887933351783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1.9798917355977586</v>
      </c>
      <c r="AV149" s="21">
        <f>EXP(-LN(2)/25)*AV148+(1-EXP(-LN(2)/25))/(LN(2)/25)*Calculateur!AQ149*Calculateur!AS149*VLOOKUP('Données projet'!$B$10,Paramètres!$A$1:$I$89,3,0)*0.475*44/12</f>
        <v>1.7243440309022231</v>
      </c>
      <c r="AW149" s="21">
        <f>EXP(-LN(2)/2)*AW148+(1-EXP(-LN(2)/2))/(LN(2)/2)*AQ149*AT149*VLOOKUP('Données projet'!$B$10,Paramètres!$A$1:$I$89,3,0)*0.475*44/12</f>
        <v>3.8847621790916304E-17</v>
      </c>
      <c r="AX149" s="21">
        <f t="shared" si="114"/>
        <v>3.7042357664999814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345.45636360520137</v>
      </c>
      <c r="BJ149" s="59">
        <f t="shared" si="146"/>
        <v>469.30074822262549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1.3551766421385991</v>
      </c>
      <c r="BQ149" s="21">
        <f>EXP(-LN(2)/25)*BQ148+(1-EXP(-LN(2)/25))/(LN(2)/25)*Calculateur!BL149*Calculateur!BN149*VLOOKUP('Données projet'!$B$11,Paramètres!$A$1:$I$89,3,0)*0.475*44/12</f>
        <v>0.73962868072486265</v>
      </c>
      <c r="BR149" s="21">
        <f>EXP(-LN(2)/2)*BR148+(1-EXP(-LN(2)/2))/(LN(2)/2)*BL149*BO149*VLOOKUP('Données projet'!$B$11,Paramètres!$A$1:$I$89,3,0)*0.475*44/12</f>
        <v>2.6552557172746936E-17</v>
      </c>
      <c r="BS149" s="22">
        <f t="shared" si="117"/>
        <v>2.0948053228634618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-1.9065282685915009E-13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534.78683721545372</v>
      </c>
      <c r="T150" s="59">
        <f t="shared" si="142"/>
        <v>710.59298755711075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0.7424015269044284</v>
      </c>
      <c r="AA150" s="21">
        <f>EXP(-LN(2)/25)*AA149+(1-EXP(-LN(2)/25))/(LN(2)/25)*Calculateur!V150*Calculateur!X150*VLOOKUP('Données projet'!$B$9,Paramètres!$A$1:$I$89,3,0)*0.475*44/12</f>
        <v>0.79488214425628356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1.5372836711607119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-5.6843418860808015E-14</v>
      </c>
      <c r="AJ150" s="13">
        <f>AI150*VLOOKUP('Données projet'!$B$10,Paramètres!$A$1:$I$89,3,0)*VLOOKUP('Données projet'!$B$10,Paramètres!$A$1:$I$89,5,0)</f>
        <v>-3.1036506698001178E-14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207.02306964567629</v>
      </c>
      <c r="AO150" s="59">
        <f t="shared" si="144"/>
        <v>342.06887933351783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1.9410672662774031</v>
      </c>
      <c r="AV150" s="21">
        <f>EXP(-LN(2)/25)*AV149+(1-EXP(-LN(2)/25))/(LN(2)/25)*Calculateur!AQ150*Calculateur!AS150*VLOOKUP('Données projet'!$B$10,Paramètres!$A$1:$I$89,3,0)*0.475*44/12</f>
        <v>1.6771917526978903</v>
      </c>
      <c r="AW150" s="21">
        <f>EXP(-LN(2)/2)*AW149+(1-EXP(-LN(2)/2))/(LN(2)/2)*AQ150*AT150*VLOOKUP('Données projet'!$B$10,Paramètres!$A$1:$I$89,3,0)*0.475*44/12</f>
        <v>2.7469416801327214E-17</v>
      </c>
      <c r="AX150" s="21">
        <f t="shared" si="114"/>
        <v>3.6182590189752935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345.45636360520137</v>
      </c>
      <c r="BJ150" s="59">
        <f t="shared" si="146"/>
        <v>469.30074822262549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1.3286024547623954</v>
      </c>
      <c r="BQ150" s="21">
        <f>EXP(-LN(2)/25)*BQ149+(1-EXP(-LN(2)/25))/(LN(2)/25)*Calculateur!BL150*Calculateur!BN150*VLOOKUP('Données projet'!$B$11,Paramètres!$A$1:$I$89,3,0)*0.475*44/12</f>
        <v>0.71940349555505945</v>
      </c>
      <c r="BR150" s="21">
        <f>EXP(-LN(2)/2)*BR149+(1-EXP(-LN(2)/2))/(LN(2)/2)*BL150*BO150*VLOOKUP('Données projet'!$B$11,Paramètres!$A$1:$I$89,3,0)*0.475*44/12</f>
        <v>1.877549323469286E-17</v>
      </c>
      <c r="BS150" s="22">
        <f t="shared" si="117"/>
        <v>2.0480059503174548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-1.9065282685915009E-13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534.78683721545372</v>
      </c>
      <c r="T151" s="59">
        <f t="shared" si="142"/>
        <v>710.59298755711075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0.72784348578205171</v>
      </c>
      <c r="AA151" s="21">
        <f>EXP(-LN(2)/25)*AA150+(1-EXP(-LN(2)/25))/(LN(2)/25)*Calculateur!V151*Calculateur!X151*VLOOKUP('Données projet'!$B$9,Paramètres!$A$1:$I$89,3,0)*0.475*44/12</f>
        <v>0.77314605022056027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1.500989536002612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-5.6843418860808015E-14</v>
      </c>
      <c r="AJ151" s="13">
        <f>AI151*VLOOKUP('Données projet'!$B$10,Paramètres!$A$1:$I$89,3,0)*VLOOKUP('Données projet'!$B$10,Paramètres!$A$1:$I$89,5,0)</f>
        <v>-3.1036506698001178E-14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207.02306964567629</v>
      </c>
      <c r="AO151" s="59">
        <f t="shared" si="144"/>
        <v>342.06887933351783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1.9030041211198319</v>
      </c>
      <c r="AV151" s="21">
        <f>EXP(-LN(2)/25)*AV150+(1-EXP(-LN(2)/25))/(LN(2)/25)*Calculateur!AQ151*Calculateur!AS151*VLOOKUP('Données projet'!$B$10,Paramètres!$A$1:$I$89,3,0)*0.475*44/12</f>
        <v>1.6313288560206856</v>
      </c>
      <c r="AW151" s="21">
        <f>EXP(-LN(2)/2)*AW150+(1-EXP(-LN(2)/2))/(LN(2)/2)*AQ151*AT151*VLOOKUP('Données projet'!$B$10,Paramètres!$A$1:$I$89,3,0)*0.475*44/12</f>
        <v>1.9423810895458155E-17</v>
      </c>
      <c r="AX151" s="21">
        <f t="shared" si="114"/>
        <v>3.5343329771405174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345.45636360520137</v>
      </c>
      <c r="BJ151" s="59">
        <f t="shared" si="146"/>
        <v>469.30074822262549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1.3025493709919851</v>
      </c>
      <c r="BQ151" s="21">
        <f>EXP(-LN(2)/25)*BQ150+(1-EXP(-LN(2)/25))/(LN(2)/25)*Calculateur!BL151*Calculateur!BN151*VLOOKUP('Données projet'!$B$11,Paramètres!$A$1:$I$89,3,0)*0.475*44/12</f>
        <v>0.6997313691373207</v>
      </c>
      <c r="BR151" s="21">
        <f>EXP(-LN(2)/2)*BR150+(1-EXP(-LN(2)/2))/(LN(2)/2)*BL151*BO151*VLOOKUP('Données projet'!$B$11,Paramètres!$A$1:$I$89,3,0)*0.475*44/12</f>
        <v>1.3276278586373468E-17</v>
      </c>
      <c r="BS151" s="22">
        <f t="shared" si="117"/>
        <v>2.0022807401293057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-1.9065282685915009E-13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534.78683721545372</v>
      </c>
      <c r="T152" s="59">
        <f t="shared" si="142"/>
        <v>710.59298755711075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0.71357091896655656</v>
      </c>
      <c r="AA152" s="21">
        <f>EXP(-LN(2)/25)*AA151+(1-EXP(-LN(2)/25))/(LN(2)/25)*Calculateur!V152*Calculateur!X152*VLOOKUP('Données projet'!$B$9,Paramètres!$A$1:$I$89,3,0)*0.475*44/12</f>
        <v>0.7520043308192953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1.4655752497858519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-5.6843418860808015E-14</v>
      </c>
      <c r="AJ152" s="13">
        <f>AI152*VLOOKUP('Données projet'!$B$10,Paramètres!$A$1:$I$89,3,0)*VLOOKUP('Données projet'!$B$10,Paramètres!$A$1:$I$89,5,0)</f>
        <v>-3.1036506698001178E-14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207.02306964567629</v>
      </c>
      <c r="AO152" s="59">
        <f t="shared" si="144"/>
        <v>342.06887933351783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1.8656873710225745</v>
      </c>
      <c r="AV152" s="21">
        <f>EXP(-LN(2)/25)*AV151+(1-EXP(-LN(2)/25))/(LN(2)/25)*Calculateur!AQ152*Calculateur!AS152*VLOOKUP('Données projet'!$B$10,Paramètres!$A$1:$I$89,3,0)*0.475*44/12</f>
        <v>1.5867200826649439</v>
      </c>
      <c r="AW152" s="21">
        <f>EXP(-LN(2)/2)*AW151+(1-EXP(-LN(2)/2))/(LN(2)/2)*AQ152*AT152*VLOOKUP('Données projet'!$B$10,Paramètres!$A$1:$I$89,3,0)*0.475*44/12</f>
        <v>1.3734708400663608E-17</v>
      </c>
      <c r="AX152" s="21">
        <f t="shared" si="114"/>
        <v>3.4524074536875187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345.45636360520137</v>
      </c>
      <c r="BJ152" s="59">
        <f t="shared" si="146"/>
        <v>469.30074822262549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1.2770071723035006</v>
      </c>
      <c r="BQ152" s="21">
        <f>EXP(-LN(2)/25)*BQ151+(1-EXP(-LN(2)/25))/(LN(2)/25)*Calculateur!BL152*Calculateur!BN152*VLOOKUP('Données projet'!$B$11,Paramètres!$A$1:$I$89,3,0)*0.475*44/12</f>
        <v>0.68059717805098718</v>
      </c>
      <c r="BR152" s="21">
        <f>EXP(-LN(2)/2)*BR151+(1-EXP(-LN(2)/2))/(LN(2)/2)*BL152*BO152*VLOOKUP('Données projet'!$B$11,Paramètres!$A$1:$I$89,3,0)*0.475*44/12</f>
        <v>9.3877466173464302E-18</v>
      </c>
      <c r="BS152" s="22">
        <f t="shared" si="117"/>
        <v>1.9576043503544878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-1.9065282685915009E-13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534.78683721545372</v>
      </c>
      <c r="T153" s="59">
        <f t="shared" si="142"/>
        <v>710.59298755711075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0.69957822848090701</v>
      </c>
      <c r="AA153" s="21">
        <f>EXP(-LN(2)/25)*AA152+(1-EXP(-LN(2)/25))/(LN(2)/25)*Calculateur!V153*Calculateur!X153*VLOOKUP('Données projet'!$B$9,Paramètres!$A$1:$I$89,3,0)*0.475*44/12</f>
        <v>0.73144073284685263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1.4310189613277595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-5.6843418860808015E-14</v>
      </c>
      <c r="AJ153" s="13">
        <f>AI153*VLOOKUP('Données projet'!$B$10,Paramètres!$A$1:$I$89,3,0)*VLOOKUP('Données projet'!$B$10,Paramètres!$A$1:$I$89,5,0)</f>
        <v>-3.1036506698001178E-14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207.02306964567629</v>
      </c>
      <c r="AO153" s="59">
        <f t="shared" si="144"/>
        <v>342.06887933351783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1.8291023796337542</v>
      </c>
      <c r="AV153" s="21">
        <f>EXP(-LN(2)/25)*AV152+(1-EXP(-LN(2)/25))/(LN(2)/25)*Calculateur!AQ153*Calculateur!AS153*VLOOKUP('Données projet'!$B$10,Paramètres!$A$1:$I$89,3,0)*0.475*44/12</f>
        <v>1.5433311385624884</v>
      </c>
      <c r="AW153" s="21">
        <f>EXP(-LN(2)/2)*AW152+(1-EXP(-LN(2)/2))/(LN(2)/2)*AQ153*AT153*VLOOKUP('Données projet'!$B$10,Paramètres!$A$1:$I$89,3,0)*0.475*44/12</f>
        <v>9.7119054477290791E-18</v>
      </c>
      <c r="AX153" s="21">
        <f t="shared" si="114"/>
        <v>3.3724335181962424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345.45636360520137</v>
      </c>
      <c r="BJ153" s="59">
        <f t="shared" si="146"/>
        <v>469.30074822262549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1.2519658405520944</v>
      </c>
      <c r="BQ153" s="21">
        <f>EXP(-LN(2)/25)*BQ152+(1-EXP(-LN(2)/25))/(LN(2)/25)*Calculateur!BL153*Calculateur!BN153*VLOOKUP('Données projet'!$B$11,Paramètres!$A$1:$I$89,3,0)*0.475*44/12</f>
        <v>0.66198621242613287</v>
      </c>
      <c r="BR153" s="21">
        <f>EXP(-LN(2)/2)*BR152+(1-EXP(-LN(2)/2))/(LN(2)/2)*BL153*BO153*VLOOKUP('Données projet'!$B$11,Paramètres!$A$1:$I$89,3,0)*0.475*44/12</f>
        <v>6.638139293186734E-18</v>
      </c>
      <c r="BS153" s="22">
        <f t="shared" si="117"/>
        <v>1.9139520529782272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-1.9065282685915009E-13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534.78683721545372</v>
      </c>
      <c r="T154" s="59">
        <f t="shared" si="142"/>
        <v>710.59298755711075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0.68585992612098257</v>
      </c>
      <c r="AA154" s="21">
        <f>EXP(-LN(2)/25)*AA153+(1-EXP(-LN(2)/25))/(LN(2)/25)*Calculateur!V154*Calculateur!X154*VLOOKUP('Données projet'!$B$9,Paramètres!$A$1:$I$89,3,0)*0.475*44/12</f>
        <v>0.71143944754235899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1.3972993736633414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-5.6843418860808015E-14</v>
      </c>
      <c r="AJ154" s="13">
        <f>AI154*VLOOKUP('Données projet'!$B$10,Paramètres!$A$1:$I$89,3,0)*VLOOKUP('Données projet'!$B$10,Paramètres!$A$1:$I$89,5,0)</f>
        <v>-3.1036506698001178E-14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207.02306964567629</v>
      </c>
      <c r="AO154" s="59">
        <f t="shared" si="144"/>
        <v>342.06887933351783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1.7932347976114273</v>
      </c>
      <c r="AV154" s="21">
        <f>EXP(-LN(2)/25)*AV153+(1-EXP(-LN(2)/25))/(LN(2)/25)*Calculateur!AQ154*Calculateur!AS154*VLOOKUP('Données projet'!$B$10,Paramètres!$A$1:$I$89,3,0)*0.475*44/12</f>
        <v>1.5011286674182398</v>
      </c>
      <c r="AW154" s="21">
        <f>EXP(-LN(2)/2)*AW153+(1-EXP(-LN(2)/2))/(LN(2)/2)*AQ154*AT154*VLOOKUP('Données projet'!$B$10,Paramètres!$A$1:$I$89,3,0)*0.475*44/12</f>
        <v>6.8673542003318049E-18</v>
      </c>
      <c r="AX154" s="21">
        <f t="shared" ref="AX154:AX203" si="166">SUM(AU154:AW154)</f>
        <v>3.2943634650296669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345.45636360520137</v>
      </c>
      <c r="BJ154" s="59">
        <f t="shared" si="146"/>
        <v>469.30074822262549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1.227415554042629</v>
      </c>
      <c r="BQ154" s="21">
        <f>EXP(-LN(2)/25)*BQ153+(1-EXP(-LN(2)/25))/(LN(2)/25)*Calculateur!BL154*Calculateur!BN154*VLOOKUP('Données projet'!$B$11,Paramètres!$A$1:$I$89,3,0)*0.475*44/12</f>
        <v>0.64388416463499831</v>
      </c>
      <c r="BR154" s="21">
        <f>EXP(-LN(2)/2)*BR153+(1-EXP(-LN(2)/2))/(LN(2)/2)*BL154*BO154*VLOOKUP('Données projet'!$B$11,Paramètres!$A$1:$I$89,3,0)*0.475*44/12</f>
        <v>4.6938733086732151E-18</v>
      </c>
      <c r="BS154" s="22">
        <f t="shared" ref="BS154:BS203" si="169">SUM(BP154:BR154)</f>
        <v>1.8712997186776272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-1.9065282685915009E-13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534.78683721545372</v>
      </c>
      <c r="T155" s="59">
        <f t="shared" si="142"/>
        <v>710.59298755711075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0.67241063130299805</v>
      </c>
      <c r="AA155" s="21">
        <f>EXP(-LN(2)/25)*AA154+(1-EXP(-LN(2)/25))/(LN(2)/25)*Calculateur!V155*Calculateur!X155*VLOOKUP('Données projet'!$B$9,Paramètres!$A$1:$I$89,3,0)*0.475*44/12</f>
        <v>0.69198509843633871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1.3643957297393368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-5.6843418860808015E-14</v>
      </c>
      <c r="AJ155" s="13">
        <f>AI155*VLOOKUP('Données projet'!$B$10,Paramètres!$A$1:$I$89,3,0)*VLOOKUP('Données projet'!$B$10,Paramètres!$A$1:$I$89,5,0)</f>
        <v>-3.1036506698001178E-14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207.02306964567629</v>
      </c>
      <c r="AO155" s="59">
        <f t="shared" si="144"/>
        <v>342.06887933351783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1.7580705569954935</v>
      </c>
      <c r="AV155" s="21">
        <f>EXP(-LN(2)/25)*AV154+(1-EXP(-LN(2)/25))/(LN(2)/25)*Calculateur!AQ155*Calculateur!AS155*VLOOKUP('Données projet'!$B$10,Paramètres!$A$1:$I$89,3,0)*0.475*44/12</f>
        <v>1.4600802250667624</v>
      </c>
      <c r="AW155" s="21">
        <f>EXP(-LN(2)/2)*AW154+(1-EXP(-LN(2)/2))/(LN(2)/2)*AQ155*AT155*VLOOKUP('Données projet'!$B$10,Paramètres!$A$1:$I$89,3,0)*0.475*44/12</f>
        <v>4.8559527238645403E-18</v>
      </c>
      <c r="AX155" s="21">
        <f t="shared" si="166"/>
        <v>3.2181507820622559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345.45636360520137</v>
      </c>
      <c r="BJ155" s="59">
        <f t="shared" si="146"/>
        <v>469.30074822262549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1.203346683677418</v>
      </c>
      <c r="BQ155" s="21">
        <f>EXP(-LN(2)/25)*BQ154+(1-EXP(-LN(2)/25))/(LN(2)/25)*Calculateur!BL155*Calculateur!BN155*VLOOKUP('Données projet'!$B$11,Paramètres!$A$1:$I$89,3,0)*0.475*44/12</f>
        <v>0.62627711829265764</v>
      </c>
      <c r="BR155" s="21">
        <f>EXP(-LN(2)/2)*BR154+(1-EXP(-LN(2)/2))/(LN(2)/2)*BL155*BO155*VLOOKUP('Données projet'!$B$11,Paramètres!$A$1:$I$89,3,0)*0.475*44/12</f>
        <v>3.319069646593367E-18</v>
      </c>
      <c r="BS155" s="22">
        <f t="shared" si="169"/>
        <v>1.8296238019700757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-1.9065282685915009E-13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534.78683721545372</v>
      </c>
      <c r="T156" s="59">
        <f t="shared" si="142"/>
        <v>710.59298755711075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0.65922506895313437</v>
      </c>
      <c r="AA156" s="21">
        <f>EXP(-LN(2)/25)*AA155+(1-EXP(-LN(2)/25))/(LN(2)/25)*Calculateur!V156*Calculateur!X156*VLOOKUP('Données projet'!$B$9,Paramètres!$A$1:$I$89,3,0)*0.475*44/12</f>
        <v>0.67306272952968227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1.3322877984828168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-5.6843418860808015E-14</v>
      </c>
      <c r="AJ156" s="13">
        <f>AI156*VLOOKUP('Données projet'!$B$10,Paramètres!$A$1:$I$89,3,0)*VLOOKUP('Données projet'!$B$10,Paramètres!$A$1:$I$89,5,0)</f>
        <v>-3.1036506698001178E-14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207.02306964567629</v>
      </c>
      <c r="AO156" s="59">
        <f t="shared" si="144"/>
        <v>342.06887933351783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1.723595865689969</v>
      </c>
      <c r="AV156" s="21">
        <f>EXP(-LN(2)/25)*AV155+(1-EXP(-LN(2)/25))/(LN(2)/25)*Calculateur!AQ156*Calculateur!AS156*VLOOKUP('Données projet'!$B$10,Paramètres!$A$1:$I$89,3,0)*0.475*44/12</f>
        <v>1.4201542545300299</v>
      </c>
      <c r="AW156" s="21">
        <f>EXP(-LN(2)/2)*AW155+(1-EXP(-LN(2)/2))/(LN(2)/2)*AQ156*AT156*VLOOKUP('Données projet'!$B$10,Paramètres!$A$1:$I$89,3,0)*0.475*44/12</f>
        <v>3.4336771001659032E-18</v>
      </c>
      <c r="AX156" s="21">
        <f t="shared" si="166"/>
        <v>3.1437501202199991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345.45636360520137</v>
      </c>
      <c r="BJ156" s="59">
        <f t="shared" si="146"/>
        <v>469.30074822262549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1.1797497891795075</v>
      </c>
      <c r="BQ156" s="21">
        <f>EXP(-LN(2)/25)*BQ155+(1-EXP(-LN(2)/25))/(LN(2)/25)*Calculateur!BL156*Calculateur!BN156*VLOOKUP('Données projet'!$B$11,Paramètres!$A$1:$I$89,3,0)*0.475*44/12</f>
        <v>0.60915153755846263</v>
      </c>
      <c r="BR156" s="21">
        <f>EXP(-LN(2)/2)*BR155+(1-EXP(-LN(2)/2))/(LN(2)/2)*BL156*BO156*VLOOKUP('Données projet'!$B$11,Paramètres!$A$1:$I$89,3,0)*0.475*44/12</f>
        <v>2.3469366543366075E-18</v>
      </c>
      <c r="BS156" s="22">
        <f t="shared" si="169"/>
        <v>1.7889013267379701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-1.9065282685915009E-13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534.78683721545372</v>
      </c>
      <c r="T157" s="59">
        <f t="shared" si="142"/>
        <v>710.59298755711075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0.64629806743855267</v>
      </c>
      <c r="AA157" s="21">
        <f>EXP(-LN(2)/25)*AA156+(1-EXP(-LN(2)/25))/(LN(2)/25)*Calculateur!V157*Calculateur!X157*VLOOKUP('Données projet'!$B$9,Paramètres!$A$1:$I$89,3,0)*0.475*44/12</f>
        <v>0.65465779379586242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1.300955861234415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-5.6843418860808015E-14</v>
      </c>
      <c r="AJ157" s="13">
        <f>AI157*VLOOKUP('Données projet'!$B$10,Paramètres!$A$1:$I$89,3,0)*VLOOKUP('Données projet'!$B$10,Paramètres!$A$1:$I$89,5,0)</f>
        <v>-3.1036506698001178E-14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207.02306964567629</v>
      </c>
      <c r="AO157" s="59">
        <f t="shared" si="144"/>
        <v>342.06887933351783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1.6897972020534606</v>
      </c>
      <c r="AV157" s="21">
        <f>EXP(-LN(2)/25)*AV156+(1-EXP(-LN(2)/25))/(LN(2)/25)*Calculateur!AQ157*Calculateur!AS157*VLOOKUP('Données projet'!$B$10,Paramètres!$A$1:$I$89,3,0)*0.475*44/12</f>
        <v>1.3813200617572396</v>
      </c>
      <c r="AW157" s="21">
        <f>EXP(-LN(2)/2)*AW156+(1-EXP(-LN(2)/2))/(LN(2)/2)*AQ157*AT157*VLOOKUP('Données projet'!$B$10,Paramètres!$A$1:$I$89,3,0)*0.475*44/12</f>
        <v>2.4279763619322705E-18</v>
      </c>
      <c r="AX157" s="21">
        <f t="shared" si="166"/>
        <v>3.0711172638107005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345.45636360520137</v>
      </c>
      <c r="BJ157" s="59">
        <f t="shared" si="146"/>
        <v>469.30074822262549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1.1566156153900164</v>
      </c>
      <c r="BQ157" s="21">
        <f>EXP(-LN(2)/25)*BQ156+(1-EXP(-LN(2)/25))/(LN(2)/25)*Calculateur!BL157*Calculateur!BN157*VLOOKUP('Données projet'!$B$11,Paramètres!$A$1:$I$89,3,0)*0.475*44/12</f>
        <v>0.5924942567300393</v>
      </c>
      <c r="BR157" s="21">
        <f>EXP(-LN(2)/2)*BR156+(1-EXP(-LN(2)/2))/(LN(2)/2)*BL157*BO157*VLOOKUP('Données projet'!$B$11,Paramètres!$A$1:$I$89,3,0)*0.475*44/12</f>
        <v>1.6595348232966835E-18</v>
      </c>
      <c r="BS157" s="22">
        <f t="shared" si="169"/>
        <v>1.7491098721200558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-1.9065282685915009E-13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534.78683721545372</v>
      </c>
      <c r="T158" s="59">
        <f t="shared" si="142"/>
        <v>710.59298755711075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0.63362455653897953</v>
      </c>
      <c r="AA158" s="21">
        <f>EXP(-LN(2)/25)*AA157+(1-EXP(-LN(2)/25))/(LN(2)/25)*Calculateur!V158*Calculateur!X158*VLOOKUP('Données projet'!$B$9,Paramètres!$A$1:$I$89,3,0)*0.475*44/12</f>
        <v>0.63675614199755748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1.2703806985365369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-5.6843418860808015E-14</v>
      </c>
      <c r="AJ158" s="13">
        <f>AI158*VLOOKUP('Données projet'!$B$10,Paramètres!$A$1:$I$89,3,0)*VLOOKUP('Données projet'!$B$10,Paramètres!$A$1:$I$89,5,0)</f>
        <v>-3.1036506698001178E-14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207.02306964567629</v>
      </c>
      <c r="AO158" s="59">
        <f t="shared" si="144"/>
        <v>342.06887933351783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1.6566613095957148</v>
      </c>
      <c r="AV158" s="21">
        <f>EXP(-LN(2)/25)*AV157+(1-EXP(-LN(2)/25))/(LN(2)/25)*Calculateur!AQ158*Calculateur!AS158*VLOOKUP('Données projet'!$B$10,Paramètres!$A$1:$I$89,3,0)*0.475*44/12</f>
        <v>1.343547792028023</v>
      </c>
      <c r="AW158" s="21">
        <f>EXP(-LN(2)/2)*AW157+(1-EXP(-LN(2)/2))/(LN(2)/2)*AQ158*AT158*VLOOKUP('Données projet'!$B$10,Paramètres!$A$1:$I$89,3,0)*0.475*44/12</f>
        <v>1.7168385500829518E-18</v>
      </c>
      <c r="AX158" s="21">
        <f t="shared" si="166"/>
        <v>3.0002091016237378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345.45636360520137</v>
      </c>
      <c r="BJ158" s="59">
        <f t="shared" si="146"/>
        <v>469.30074822262549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1.1339350886380846</v>
      </c>
      <c r="BQ158" s="21">
        <f>EXP(-LN(2)/25)*BQ157+(1-EXP(-LN(2)/25))/(LN(2)/25)*Calculateur!BL158*Calculateur!BN158*VLOOKUP('Données projet'!$B$11,Paramètres!$A$1:$I$89,3,0)*0.475*44/12</f>
        <v>0.5762924701218376</v>
      </c>
      <c r="BR158" s="21">
        <f>EXP(-LN(2)/2)*BR157+(1-EXP(-LN(2)/2))/(LN(2)/2)*BL158*BO158*VLOOKUP('Données projet'!$B$11,Paramètres!$A$1:$I$89,3,0)*0.475*44/12</f>
        <v>1.1734683271683038E-18</v>
      </c>
      <c r="BS158" s="22">
        <f t="shared" si="169"/>
        <v>1.7102275587599221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-1.9065282685915009E-13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534.78683721545372</v>
      </c>
      <c r="T159" s="59">
        <f t="shared" si="142"/>
        <v>710.59298755711075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0.62119956545806865</v>
      </c>
      <c r="AA159" s="21">
        <f>EXP(-LN(2)/25)*AA158+(1-EXP(-LN(2)/25))/(LN(2)/25)*Calculateur!V159*Calculateur!X159*VLOOKUP('Données projet'!$B$9,Paramètres!$A$1:$I$89,3,0)*0.475*44/12</f>
        <v>0.61934401180908405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1.2405435772671527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-5.6843418860808015E-14</v>
      </c>
      <c r="AJ159" s="13">
        <f>AI159*VLOOKUP('Données projet'!$B$10,Paramètres!$A$1:$I$89,3,0)*VLOOKUP('Données projet'!$B$10,Paramètres!$A$1:$I$89,5,0)</f>
        <v>-3.1036506698001178E-14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207.02306964567629</v>
      </c>
      <c r="AO159" s="59">
        <f t="shared" si="144"/>
        <v>342.06887933351783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1.6241751917781666</v>
      </c>
      <c r="AV159" s="21">
        <f>EXP(-LN(2)/25)*AV158+(1-EXP(-LN(2)/25))/(LN(2)/25)*Calculateur!AQ159*Calculateur!AS159*VLOOKUP('Données projet'!$B$10,Paramètres!$A$1:$I$89,3,0)*0.475*44/12</f>
        <v>1.3068084070009089</v>
      </c>
      <c r="AW159" s="21">
        <f>EXP(-LN(2)/2)*AW158+(1-EXP(-LN(2)/2))/(LN(2)/2)*AQ159*AT159*VLOOKUP('Données projet'!$B$10,Paramètres!$A$1:$I$89,3,0)*0.475*44/12</f>
        <v>1.2139881809661355E-18</v>
      </c>
      <c r="AX159" s="21">
        <f t="shared" si="166"/>
        <v>2.9309835987790755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345.45636360520137</v>
      </c>
      <c r="BJ159" s="59">
        <f t="shared" si="146"/>
        <v>469.30074822262549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1.1116993131820028</v>
      </c>
      <c r="BQ159" s="21">
        <f>EXP(-LN(2)/25)*BQ158+(1-EXP(-LN(2)/25))/(LN(2)/25)*Calculateur!BL159*Calculateur!BN159*VLOOKUP('Données projet'!$B$11,Paramètres!$A$1:$I$89,3,0)*0.475*44/12</f>
        <v>0.56053372222045206</v>
      </c>
      <c r="BR159" s="21">
        <f>EXP(-LN(2)/2)*BR158+(1-EXP(-LN(2)/2))/(LN(2)/2)*BL159*BO159*VLOOKUP('Données projet'!$B$11,Paramètres!$A$1:$I$89,3,0)*0.475*44/12</f>
        <v>8.2976741164834175E-19</v>
      </c>
      <c r="BS159" s="22">
        <f t="shared" si="169"/>
        <v>1.6722330354024548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-1.9065282685915009E-13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534.78683721545372</v>
      </c>
      <c r="T160" s="59">
        <f t="shared" si="142"/>
        <v>710.59298755711075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0.60901822087375812</v>
      </c>
      <c r="AA160" s="21">
        <f>EXP(-LN(2)/25)*AA159+(1-EXP(-LN(2)/25))/(LN(2)/25)*Calculateur!V160*Calculateur!X160*VLOOKUP('Données projet'!$B$9,Paramètres!$A$1:$I$89,3,0)*0.475*44/12</f>
        <v>0.60240801723627857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1.2114262381100367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-5.6843418860808015E-14</v>
      </c>
      <c r="AJ160" s="13">
        <f>AI160*VLOOKUP('Données projet'!$B$10,Paramètres!$A$1:$I$89,3,0)*VLOOKUP('Données projet'!$B$10,Paramètres!$A$1:$I$89,5,0)</f>
        <v>-3.1036506698001178E-14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207.02306964567629</v>
      </c>
      <c r="AO160" s="59">
        <f t="shared" si="144"/>
        <v>342.06887933351783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1.5923261069164454</v>
      </c>
      <c r="AV160" s="21">
        <f>EXP(-LN(2)/25)*AV159+(1-EXP(-LN(2)/25))/(LN(2)/25)*Calculateur!AQ160*Calculateur!AS160*VLOOKUP('Données projet'!$B$10,Paramètres!$A$1:$I$89,3,0)*0.475*44/12</f>
        <v>1.2710736623894017</v>
      </c>
      <c r="AW160" s="21">
        <f>EXP(-LN(2)/2)*AW159+(1-EXP(-LN(2)/2))/(LN(2)/2)*AQ160*AT160*VLOOKUP('Données projet'!$B$10,Paramètres!$A$1:$I$89,3,0)*0.475*44/12</f>
        <v>8.584192750414761E-19</v>
      </c>
      <c r="AX160" s="21">
        <f t="shared" si="166"/>
        <v>2.8633997693058468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345.45636360520137</v>
      </c>
      <c r="BJ160" s="59">
        <f t="shared" si="146"/>
        <v>469.30074822262549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1.0898995677201309</v>
      </c>
      <c r="BQ160" s="21">
        <f>EXP(-LN(2)/25)*BQ159+(1-EXP(-LN(2)/25))/(LN(2)/25)*Calculateur!BL160*Calculateur!BN160*VLOOKUP('Données projet'!$B$11,Paramètres!$A$1:$I$89,3,0)*0.475*44/12</f>
        <v>0.54520589810914644</v>
      </c>
      <c r="BR160" s="21">
        <f>EXP(-LN(2)/2)*BR159+(1-EXP(-LN(2)/2))/(LN(2)/2)*BL160*BO160*VLOOKUP('Données projet'!$B$11,Paramètres!$A$1:$I$89,3,0)*0.475*44/12</f>
        <v>5.8673416358415189E-19</v>
      </c>
      <c r="BS160" s="22">
        <f t="shared" si="169"/>
        <v>1.6351054658292772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-1.9065282685915009E-13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534.78683721545372</v>
      </c>
      <c r="T161" s="59">
        <f t="shared" si="142"/>
        <v>710.59298755711075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0.59707574502685934</v>
      </c>
      <c r="AA161" s="21">
        <f>EXP(-LN(2)/25)*AA160+(1-EXP(-LN(2)/25))/(LN(2)/25)*Calculateur!V161*Calculateur!X161*VLOOKUP('Données projet'!$B$9,Paramètres!$A$1:$I$89,3,0)*0.475*44/12</f>
        <v>0.58593513832569177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1.183010883352551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-5.6843418860808015E-14</v>
      </c>
      <c r="AJ161" s="13">
        <f>AI161*VLOOKUP('Données projet'!$B$10,Paramètres!$A$1:$I$89,3,0)*VLOOKUP('Données projet'!$B$10,Paramètres!$A$1:$I$89,5,0)</f>
        <v>-3.1036506698001178E-14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207.02306964567629</v>
      </c>
      <c r="AO161" s="59">
        <f t="shared" si="144"/>
        <v>342.06887933351783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1.5611015631828389</v>
      </c>
      <c r="AV161" s="21">
        <f>EXP(-LN(2)/25)*AV160+(1-EXP(-LN(2)/25))/(LN(2)/25)*Calculateur!AQ161*Calculateur!AS161*VLOOKUP('Données projet'!$B$10,Paramètres!$A$1:$I$89,3,0)*0.475*44/12</f>
        <v>1.2363160862485048</v>
      </c>
      <c r="AW161" s="21">
        <f>EXP(-LN(2)/2)*AW160+(1-EXP(-LN(2)/2))/(LN(2)/2)*AQ161*AT161*VLOOKUP('Données projet'!$B$10,Paramètres!$A$1:$I$89,3,0)*0.475*44/12</f>
        <v>6.0699409048306783E-19</v>
      </c>
      <c r="AX161" s="21">
        <f t="shared" si="166"/>
        <v>2.7974176494313436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345.45636360520137</v>
      </c>
      <c r="BJ161" s="59">
        <f t="shared" si="146"/>
        <v>469.30074822262549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1.0685273019702346</v>
      </c>
      <c r="BQ161" s="21">
        <f>EXP(-LN(2)/25)*BQ160+(1-EXP(-LN(2)/25))/(LN(2)/25)*Calculateur!BL161*Calculateur!BN161*VLOOKUP('Données projet'!$B$11,Paramètres!$A$1:$I$89,3,0)*0.475*44/12</f>
        <v>0.53029721415421971</v>
      </c>
      <c r="BR161" s="21">
        <f>EXP(-LN(2)/2)*BR160+(1-EXP(-LN(2)/2))/(LN(2)/2)*BL161*BO161*VLOOKUP('Données projet'!$B$11,Paramètres!$A$1:$I$89,3,0)*0.475*44/12</f>
        <v>4.1488370582417087E-19</v>
      </c>
      <c r="BS161" s="22">
        <f t="shared" si="169"/>
        <v>1.5988245161244543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-1.9065282685915009E-13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534.78683721545372</v>
      </c>
      <c r="T162" s="59">
        <f t="shared" si="142"/>
        <v>710.59298755711075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0.58536745384712729</v>
      </c>
      <c r="AA162" s="21">
        <f>EXP(-LN(2)/25)*AA161+(1-EXP(-LN(2)/25))/(LN(2)/25)*Calculateur!V162*Calculateur!X162*VLOOKUP('Données projet'!$B$9,Paramètres!$A$1:$I$89,3,0)*0.475*44/12</f>
        <v>0.56991271115518594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1.1552801650023132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-5.6843418860808015E-14</v>
      </c>
      <c r="AJ162" s="13">
        <f>AI162*VLOOKUP('Données projet'!$B$10,Paramètres!$A$1:$I$89,3,0)*VLOOKUP('Données projet'!$B$10,Paramètres!$A$1:$I$89,5,0)</f>
        <v>-3.1036506698001178E-14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207.02306964567629</v>
      </c>
      <c r="AO162" s="59">
        <f t="shared" si="144"/>
        <v>342.06887933351783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1.5304893137067572</v>
      </c>
      <c r="AV162" s="21">
        <f>EXP(-LN(2)/25)*AV161+(1-EXP(-LN(2)/25))/(LN(2)/25)*Calculateur!AQ162*Calculateur!AS162*VLOOKUP('Données projet'!$B$10,Paramètres!$A$1:$I$89,3,0)*0.475*44/12</f>
        <v>1.2025089578550021</v>
      </c>
      <c r="AW162" s="21">
        <f>EXP(-LN(2)/2)*AW161+(1-EXP(-LN(2)/2))/(LN(2)/2)*AQ162*AT162*VLOOKUP('Données projet'!$B$10,Paramètres!$A$1:$I$89,3,0)*0.475*44/12</f>
        <v>4.292096375207381E-19</v>
      </c>
      <c r="AX162" s="21">
        <f t="shared" si="166"/>
        <v>2.7329982715617591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345.45636360520137</v>
      </c>
      <c r="BJ162" s="59">
        <f t="shared" si="146"/>
        <v>469.30074822262549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1.0475741333158988</v>
      </c>
      <c r="BQ162" s="21">
        <f>EXP(-LN(2)/25)*BQ161+(1-EXP(-LN(2)/25))/(LN(2)/25)*Calculateur!BL162*Calculateur!BN162*VLOOKUP('Données projet'!$B$11,Paramètres!$A$1:$I$89,3,0)*0.475*44/12</f>
        <v>0.51579620894605405</v>
      </c>
      <c r="BR162" s="21">
        <f>EXP(-LN(2)/2)*BR161+(1-EXP(-LN(2)/2))/(LN(2)/2)*BL162*BO162*VLOOKUP('Données projet'!$B$11,Paramètres!$A$1:$I$89,3,0)*0.475*44/12</f>
        <v>2.9336708179207594E-19</v>
      </c>
      <c r="BS162" s="22">
        <f t="shared" si="169"/>
        <v>1.5633703422619529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-1.9065282685915009E-13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534.78683721545372</v>
      </c>
      <c r="T163" s="59">
        <f t="shared" si="142"/>
        <v>710.59298755711075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0.57388875511607729</v>
      </c>
      <c r="AA163" s="21">
        <f>EXP(-LN(2)/25)*AA162+(1-EXP(-LN(2)/25))/(LN(2)/25)*Calculateur!V163*Calculateur!X163*VLOOKUP('Données projet'!$B$9,Paramètres!$A$1:$I$89,3,0)*0.475*44/12</f>
        <v>0.55432841809824041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1.1282171732143178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-5.6843418860808015E-14</v>
      </c>
      <c r="AJ163" s="13">
        <f>AI163*VLOOKUP('Données projet'!$B$10,Paramètres!$A$1:$I$89,3,0)*VLOOKUP('Données projet'!$B$10,Paramètres!$A$1:$I$89,5,0)</f>
        <v>-3.1036506698001178E-14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207.02306964567629</v>
      </c>
      <c r="AO163" s="59">
        <f t="shared" si="144"/>
        <v>342.06887933351783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1.5004773517712731</v>
      </c>
      <c r="AV163" s="21">
        <f>EXP(-LN(2)/25)*AV162+(1-EXP(-LN(2)/25))/(LN(2)/25)*Calculateur!AQ163*Calculateur!AS163*VLOOKUP('Données projet'!$B$10,Paramètres!$A$1:$I$89,3,0)*0.475*44/12</f>
        <v>1.1696262871652594</v>
      </c>
      <c r="AW163" s="21">
        <f>EXP(-LN(2)/2)*AW162+(1-EXP(-LN(2)/2))/(LN(2)/2)*AQ163*AT163*VLOOKUP('Données projet'!$B$10,Paramètres!$A$1:$I$89,3,0)*0.475*44/12</f>
        <v>3.0349704524153396E-19</v>
      </c>
      <c r="AX163" s="21">
        <f t="shared" si="166"/>
        <v>2.6701036389365322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345.45636360520137</v>
      </c>
      <c r="BJ163" s="59">
        <f t="shared" si="146"/>
        <v>469.30074822262549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1.0270318435187036</v>
      </c>
      <c r="BQ163" s="21">
        <f>EXP(-LN(2)/25)*BQ162+(1-EXP(-LN(2)/25))/(LN(2)/25)*Calculateur!BL163*Calculateur!BN163*VLOOKUP('Données projet'!$B$11,Paramètres!$A$1:$I$89,3,0)*0.475*44/12</f>
        <v>0.5016917344878804</v>
      </c>
      <c r="BR163" s="21">
        <f>EXP(-LN(2)/2)*BR162+(1-EXP(-LN(2)/2))/(LN(2)/2)*BL163*BO163*VLOOKUP('Données projet'!$B$11,Paramètres!$A$1:$I$89,3,0)*0.475*44/12</f>
        <v>2.0744185291208544E-19</v>
      </c>
      <c r="BS163" s="22">
        <f t="shared" si="169"/>
        <v>1.528723578006584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-1.9065282685915009E-13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534.78683721545372</v>
      </c>
      <c r="T164" s="59">
        <f t="shared" si="142"/>
        <v>710.59298755711075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0.56263514666582826</v>
      </c>
      <c r="AA164" s="21">
        <f>EXP(-LN(2)/25)*AA163+(1-EXP(-LN(2)/25))/(LN(2)/25)*Calculateur!V164*Calculateur!X164*VLOOKUP('Données projet'!$B$9,Paramètres!$A$1:$I$89,3,0)*0.475*44/12</f>
        <v>0.53917027835447939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1.1018054250203075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-5.6843418860808015E-14</v>
      </c>
      <c r="AJ164" s="13">
        <f>AI164*VLOOKUP('Données projet'!$B$10,Paramètres!$A$1:$I$89,3,0)*VLOOKUP('Données projet'!$B$10,Paramètres!$A$1:$I$89,5,0)</f>
        <v>-3.1036506698001178E-14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207.02306964567629</v>
      </c>
      <c r="AO164" s="59">
        <f t="shared" si="144"/>
        <v>342.06887933351783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1.4710539061038543</v>
      </c>
      <c r="AV164" s="21">
        <f>EXP(-LN(2)/25)*AV163+(1-EXP(-LN(2)/25))/(LN(2)/25)*Calculateur!AQ164*Calculateur!AS164*VLOOKUP('Données projet'!$B$10,Paramètres!$A$1:$I$89,3,0)*0.475*44/12</f>
        <v>1.1376427948347521</v>
      </c>
      <c r="AW164" s="21">
        <f>EXP(-LN(2)/2)*AW163+(1-EXP(-LN(2)/2))/(LN(2)/2)*AQ164*AT164*VLOOKUP('Données projet'!$B$10,Paramètres!$A$1:$I$89,3,0)*0.475*44/12</f>
        <v>2.146048187603691E-19</v>
      </c>
      <c r="AX164" s="21">
        <f t="shared" si="166"/>
        <v>2.6086967009386064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345.45636360520137</v>
      </c>
      <c r="BJ164" s="59">
        <f t="shared" si="146"/>
        <v>469.30074822262549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1.0068923754948718</v>
      </c>
      <c r="BQ164" s="21">
        <f>EXP(-LN(2)/25)*BQ163+(1-EXP(-LN(2)/25))/(LN(2)/25)*Calculateur!BL164*Calculateur!BN164*VLOOKUP('Données projet'!$B$11,Paramètres!$A$1:$I$89,3,0)*0.475*44/12</f>
        <v>0.48797294762548765</v>
      </c>
      <c r="BR164" s="21">
        <f>EXP(-LN(2)/2)*BR163+(1-EXP(-LN(2)/2))/(LN(2)/2)*BL164*BO164*VLOOKUP('Données projet'!$B$11,Paramètres!$A$1:$I$89,3,0)*0.475*44/12</f>
        <v>1.4668354089603797E-19</v>
      </c>
      <c r="BS164" s="22">
        <f t="shared" si="169"/>
        <v>1.4948653231203595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-1.9065282685915009E-13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534.78683721545372</v>
      </c>
      <c r="T165" s="59">
        <f t="shared" si="142"/>
        <v>710.59298755711075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0.55160221461326531</v>
      </c>
      <c r="AA165" s="21">
        <f>EXP(-LN(2)/25)*AA164+(1-EXP(-LN(2)/25))/(LN(2)/25)*Calculateur!V165*Calculateur!X165*VLOOKUP('Données projet'!$B$9,Paramètres!$A$1:$I$89,3,0)*0.475*44/12</f>
        <v>0.52442663873914352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1.0760288533524087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-5.6843418860808015E-14</v>
      </c>
      <c r="AJ165" s="13">
        <f>AI165*VLOOKUP('Données projet'!$B$10,Paramètres!$A$1:$I$89,3,0)*VLOOKUP('Données projet'!$B$10,Paramètres!$A$1:$I$89,5,0)</f>
        <v>-3.1036506698001178E-14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207.02306964567629</v>
      </c>
      <c r="AO165" s="59">
        <f t="shared" si="144"/>
        <v>342.06887933351783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1.4422074362594439</v>
      </c>
      <c r="AV165" s="21">
        <f>EXP(-LN(2)/25)*AV164+(1-EXP(-LN(2)/25))/(LN(2)/25)*Calculateur!AQ165*Calculateur!AS165*VLOOKUP('Données projet'!$B$10,Paramètres!$A$1:$I$89,3,0)*0.475*44/12</f>
        <v>1.1065338927839612</v>
      </c>
      <c r="AW165" s="21">
        <f>EXP(-LN(2)/2)*AW164+(1-EXP(-LN(2)/2))/(LN(2)/2)*AQ165*AT165*VLOOKUP('Données projet'!$B$10,Paramètres!$A$1:$I$89,3,0)*0.475*44/12</f>
        <v>1.5174852262076701E-19</v>
      </c>
      <c r="AX165" s="21">
        <f t="shared" si="166"/>
        <v>2.5487413290434051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345.45636360520137</v>
      </c>
      <c r="BJ165" s="59">
        <f t="shared" si="146"/>
        <v>469.30074822262549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0.98714783015512475</v>
      </c>
      <c r="BQ165" s="21">
        <f>EXP(-LN(2)/25)*BQ164+(1-EXP(-LN(2)/25))/(LN(2)/25)*Calculateur!BL165*Calculateur!BN165*VLOOKUP('Données projet'!$B$11,Paramètres!$A$1:$I$89,3,0)*0.475*44/12</f>
        <v>0.47462930171128664</v>
      </c>
      <c r="BR165" s="21">
        <f>EXP(-LN(2)/2)*BR164+(1-EXP(-LN(2)/2))/(LN(2)/2)*BL165*BO165*VLOOKUP('Données projet'!$B$11,Paramètres!$A$1:$I$89,3,0)*0.475*44/12</f>
        <v>1.0372092645604272E-19</v>
      </c>
      <c r="BS165" s="22">
        <f t="shared" si="169"/>
        <v>1.4617771318664114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-1.9065282685915009E-13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534.78683721545372</v>
      </c>
      <c r="T166" s="59">
        <f t="shared" si="142"/>
        <v>710.59298755711075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0.54078563162882898</v>
      </c>
      <c r="AA166" s="21">
        <f>EXP(-LN(2)/25)*AA165+(1-EXP(-LN(2)/25))/(LN(2)/25)*Calculateur!V166*Calculateur!X166*VLOOKUP('Données projet'!$B$9,Paramètres!$A$1:$I$89,3,0)*0.475*44/12</f>
        <v>0.51008616472442325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1.0508717963532521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-5.6843418860808015E-14</v>
      </c>
      <c r="AJ166" s="13">
        <f>AI166*VLOOKUP('Données projet'!$B$10,Paramètres!$A$1:$I$89,3,0)*VLOOKUP('Données projet'!$B$10,Paramètres!$A$1:$I$89,5,0)</f>
        <v>-3.1036506698001178E-14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207.02306964567629</v>
      </c>
      <c r="AO166" s="59">
        <f t="shared" si="144"/>
        <v>342.06887933351783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1.4139266280940732</v>
      </c>
      <c r="AV166" s="21">
        <f>EXP(-LN(2)/25)*AV165+(1-EXP(-LN(2)/25))/(LN(2)/25)*Calculateur!AQ166*Calculateur!AS166*VLOOKUP('Données projet'!$B$10,Paramètres!$A$1:$I$89,3,0)*0.475*44/12</f>
        <v>1.0762756652956953</v>
      </c>
      <c r="AW166" s="21">
        <f>EXP(-LN(2)/2)*AW165+(1-EXP(-LN(2)/2))/(LN(2)/2)*AQ166*AT166*VLOOKUP('Données projet'!$B$10,Paramètres!$A$1:$I$89,3,0)*0.475*44/12</f>
        <v>1.0730240938018456E-19</v>
      </c>
      <c r="AX166" s="21">
        <f t="shared" si="166"/>
        <v>2.4902022933897685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345.45636360520137</v>
      </c>
      <c r="BJ166" s="59">
        <f t="shared" si="146"/>
        <v>469.30074822262549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0.96779046330650664</v>
      </c>
      <c r="BQ166" s="21">
        <f>EXP(-LN(2)/25)*BQ165+(1-EXP(-LN(2)/25))/(LN(2)/25)*Calculateur!BL166*Calculateur!BN166*VLOOKUP('Données projet'!$B$11,Paramètres!$A$1:$I$89,3,0)*0.475*44/12</f>
        <v>0.46165053849632132</v>
      </c>
      <c r="BR166" s="21">
        <f>EXP(-LN(2)/2)*BR165+(1-EXP(-LN(2)/2))/(LN(2)/2)*BL166*BO166*VLOOKUP('Données projet'!$B$11,Paramètres!$A$1:$I$89,3,0)*0.475*44/12</f>
        <v>7.3341770448018986E-20</v>
      </c>
      <c r="BS166" s="22">
        <f t="shared" si="169"/>
        <v>1.4294410018028278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-1.9065282685915009E-13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534.78683721545372</v>
      </c>
      <c r="T167" s="59">
        <f t="shared" si="142"/>
        <v>710.59298755711075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0.53018115523925324</v>
      </c>
      <c r="AA167" s="21">
        <f>EXP(-LN(2)/25)*AA166+(1-EXP(-LN(2)/25))/(LN(2)/25)*Calculateur!V167*Calculateur!X167*VLOOKUP('Données projet'!$B$9,Paramètres!$A$1:$I$89,3,0)*0.475*44/12</f>
        <v>0.49613783172576831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1.0263189869650216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-5.6843418860808015E-14</v>
      </c>
      <c r="AJ167" s="13">
        <f>AI167*VLOOKUP('Données projet'!$B$10,Paramètres!$A$1:$I$89,3,0)*VLOOKUP('Données projet'!$B$10,Paramètres!$A$1:$I$89,5,0)</f>
        <v>-3.1036506698001178E-14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207.02306964567629</v>
      </c>
      <c r="AO167" s="59">
        <f t="shared" si="144"/>
        <v>342.06887933351783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1.3862003893272357</v>
      </c>
      <c r="AV167" s="21">
        <f>EXP(-LN(2)/25)*AV166+(1-EXP(-LN(2)/25))/(LN(2)/25)*Calculateur!AQ167*Calculateur!AS167*VLOOKUP('Données projet'!$B$10,Paramètres!$A$1:$I$89,3,0)*0.475*44/12</f>
        <v>1.0468448506293071</v>
      </c>
      <c r="AW167" s="21">
        <f>EXP(-LN(2)/2)*AW166+(1-EXP(-LN(2)/2))/(LN(2)/2)*AQ167*AT167*VLOOKUP('Données projet'!$B$10,Paramètres!$A$1:$I$89,3,0)*0.475*44/12</f>
        <v>7.5874261310383515E-20</v>
      </c>
      <c r="AX167" s="21">
        <f t="shared" si="166"/>
        <v>2.4330452399565425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345.45636360520137</v>
      </c>
      <c r="BJ167" s="59">
        <f t="shared" si="146"/>
        <v>469.30074822262549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0.94881268261496199</v>
      </c>
      <c r="BQ167" s="21">
        <f>EXP(-LN(2)/25)*BQ166+(1-EXP(-LN(2)/25))/(LN(2)/25)*Calculateur!BL167*Calculateur!BN167*VLOOKUP('Données projet'!$B$11,Paramètres!$A$1:$I$89,3,0)*0.475*44/12</f>
        <v>0.44902668024399273</v>
      </c>
      <c r="BR167" s="21">
        <f>EXP(-LN(2)/2)*BR166+(1-EXP(-LN(2)/2))/(LN(2)/2)*BL167*BO167*VLOOKUP('Données projet'!$B$11,Paramètres!$A$1:$I$89,3,0)*0.475*44/12</f>
        <v>5.1860463228021359E-20</v>
      </c>
      <c r="BS167" s="22">
        <f t="shared" si="169"/>
        <v>1.3978393628589547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-1.9065282685915009E-13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534.78683721545372</v>
      </c>
      <c r="T168" s="59">
        <f t="shared" si="142"/>
        <v>710.59298755711075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0.51978462616358523</v>
      </c>
      <c r="AA168" s="21">
        <f>EXP(-LN(2)/25)*AA167+(1-EXP(-LN(2)/25))/(LN(2)/25)*Calculateur!V168*Calculateur!X168*VLOOKUP('Données projet'!$B$9,Paramètres!$A$1:$I$89,3,0)*0.475*44/12</f>
        <v>0.48257091662647256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1.0023555427900579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-5.6843418860808015E-14</v>
      </c>
      <c r="AJ168" s="13">
        <f>AI168*VLOOKUP('Données projet'!$B$10,Paramètres!$A$1:$I$89,3,0)*VLOOKUP('Données projet'!$B$10,Paramètres!$A$1:$I$89,5,0)</f>
        <v>-3.1036506698001178E-14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207.02306964567629</v>
      </c>
      <c r="AO168" s="59">
        <f t="shared" si="144"/>
        <v>342.06887933351783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1.35901784519128</v>
      </c>
      <c r="AV168" s="21">
        <f>EXP(-LN(2)/25)*AV167+(1-EXP(-LN(2)/25))/(LN(2)/25)*Calculateur!AQ168*Calculateur!AS168*VLOOKUP('Données projet'!$B$10,Paramètres!$A$1:$I$89,3,0)*0.475*44/12</f>
        <v>1.0182188231376705</v>
      </c>
      <c r="AW168" s="21">
        <f>EXP(-LN(2)/2)*AW167+(1-EXP(-LN(2)/2))/(LN(2)/2)*AQ168*AT168*VLOOKUP('Données projet'!$B$10,Paramètres!$A$1:$I$89,3,0)*0.475*44/12</f>
        <v>5.3651204690092286E-20</v>
      </c>
      <c r="AX168" s="21">
        <f t="shared" si="166"/>
        <v>2.3772366683289503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345.45636360520137</v>
      </c>
      <c r="BJ168" s="59">
        <f t="shared" si="146"/>
        <v>469.30074822262549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0.93020704462747528</v>
      </c>
      <c r="BQ168" s="21">
        <f>EXP(-LN(2)/25)*BQ167+(1-EXP(-LN(2)/25))/(LN(2)/25)*Calculateur!BL168*Calculateur!BN168*VLOOKUP('Données projet'!$B$11,Paramètres!$A$1:$I$89,3,0)*0.475*44/12</f>
        <v>0.43674802205943392</v>
      </c>
      <c r="BR168" s="21">
        <f>EXP(-LN(2)/2)*BR167+(1-EXP(-LN(2)/2))/(LN(2)/2)*BL168*BO168*VLOOKUP('Données projet'!$B$11,Paramètres!$A$1:$I$89,3,0)*0.475*44/12</f>
        <v>3.6670885224009493E-20</v>
      </c>
      <c r="BS168" s="22">
        <f t="shared" si="169"/>
        <v>1.3669550666869092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-1.9065282685915009E-13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534.78683721545372</v>
      </c>
      <c r="T169" s="59">
        <f t="shared" si="142"/>
        <v>710.59298755711075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0.50959196668183449</v>
      </c>
      <c r="AA169" s="21">
        <f>EXP(-LN(2)/25)*AA168+(1-EXP(-LN(2)/25))/(LN(2)/25)*Calculateur!V169*Calculateur!X169*VLOOKUP('Données projet'!$B$9,Paramètres!$A$1:$I$89,3,0)*0.475*44/12</f>
        <v>0.46937498953402007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0.9789669562158545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-5.6843418860808015E-14</v>
      </c>
      <c r="AJ169" s="13">
        <f>AI169*VLOOKUP('Données projet'!$B$10,Paramètres!$A$1:$I$89,3,0)*VLOOKUP('Données projet'!$B$10,Paramètres!$A$1:$I$89,5,0)</f>
        <v>-3.1036506698001178E-14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207.02306964567629</v>
      </c>
      <c r="AO169" s="59">
        <f t="shared" si="144"/>
        <v>342.06887933351783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1.3323683341661157</v>
      </c>
      <c r="AV169" s="21">
        <f>EXP(-LN(2)/25)*AV168+(1-EXP(-LN(2)/25))/(LN(2)/25)*Calculateur!AQ169*Calculateur!AS169*VLOOKUP('Données projet'!$B$10,Paramètres!$A$1:$I$89,3,0)*0.475*44/12</f>
        <v>0.99037557587317016</v>
      </c>
      <c r="AW169" s="21">
        <f>EXP(-LN(2)/2)*AW168+(1-EXP(-LN(2)/2))/(LN(2)/2)*AQ169*AT169*VLOOKUP('Données projet'!$B$10,Paramètres!$A$1:$I$89,3,0)*0.475*44/12</f>
        <v>3.7937130655191763E-20</v>
      </c>
      <c r="AX169" s="21">
        <f t="shared" si="166"/>
        <v>2.3227439100392857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345.45636360520137</v>
      </c>
      <c r="BJ169" s="59">
        <f t="shared" si="146"/>
        <v>469.30074822262549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0.9119662518526046</v>
      </c>
      <c r="BQ169" s="21">
        <f>EXP(-LN(2)/25)*BQ168+(1-EXP(-LN(2)/25))/(LN(2)/25)*Calculateur!BL169*Calculateur!BN169*VLOOKUP('Données projet'!$B$11,Paramètres!$A$1:$I$89,3,0)*0.475*44/12</f>
        <v>0.42480512442863844</v>
      </c>
      <c r="BR169" s="21">
        <f>EXP(-LN(2)/2)*BR168+(1-EXP(-LN(2)/2))/(LN(2)/2)*BL169*BO169*VLOOKUP('Données projet'!$B$11,Paramètres!$A$1:$I$89,3,0)*0.475*44/12</f>
        <v>2.593023161401068E-20</v>
      </c>
      <c r="BS169" s="22">
        <f t="shared" si="169"/>
        <v>1.336771376281243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-1.9065282685915009E-13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534.78683721545372</v>
      </c>
      <c r="T170" s="59">
        <f t="shared" si="142"/>
        <v>710.59298755711075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0.49959917903561241</v>
      </c>
      <c r="AA170" s="21">
        <f>EXP(-LN(2)/25)*AA169+(1-EXP(-LN(2)/25))/(LN(2)/25)*Calculateur!V170*Calculateur!X170*VLOOKUP('Données projet'!$B$9,Paramètres!$A$1:$I$89,3,0)*0.475*44/12</f>
        <v>0.45653990576185438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0.95613908479746679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-5.6843418860808015E-14</v>
      </c>
      <c r="AJ170" s="13">
        <f>AI170*VLOOKUP('Données projet'!$B$10,Paramètres!$A$1:$I$89,3,0)*VLOOKUP('Données projet'!$B$10,Paramètres!$A$1:$I$89,5,0)</f>
        <v>-3.1036506698001178E-14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207.02306964567629</v>
      </c>
      <c r="AO170" s="59">
        <f t="shared" si="144"/>
        <v>342.06887933351783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1.306241403797558</v>
      </c>
      <c r="AV170" s="21">
        <f>EXP(-LN(2)/25)*AV169+(1-EXP(-LN(2)/25))/(LN(2)/25)*Calculateur!AQ170*Calculateur!AS170*VLOOKUP('Données projet'!$B$10,Paramètres!$A$1:$I$89,3,0)*0.475*44/12</f>
        <v>0.96329370366933031</v>
      </c>
      <c r="AW170" s="21">
        <f>EXP(-LN(2)/2)*AW169+(1-EXP(-LN(2)/2))/(LN(2)/2)*AQ170*AT170*VLOOKUP('Données projet'!$B$10,Paramètres!$A$1:$I$89,3,0)*0.475*44/12</f>
        <v>2.6825602345046149E-20</v>
      </c>
      <c r="AX170" s="21">
        <f t="shared" si="166"/>
        <v>2.2695351074668881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345.45636360520137</v>
      </c>
      <c r="BJ170" s="59">
        <f t="shared" si="146"/>
        <v>469.30074822262549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0.8940831498982641</v>
      </c>
      <c r="BQ170" s="21">
        <f>EXP(-LN(2)/25)*BQ169+(1-EXP(-LN(2)/25))/(LN(2)/25)*Calculateur!BL170*Calculateur!BN170*VLOOKUP('Données projet'!$B$11,Paramètres!$A$1:$I$89,3,0)*0.475*44/12</f>
        <v>0.41318880596160673</v>
      </c>
      <c r="BR170" s="21">
        <f>EXP(-LN(2)/2)*BR169+(1-EXP(-LN(2)/2))/(LN(2)/2)*BL170*BO170*VLOOKUP('Données projet'!$B$11,Paramètres!$A$1:$I$89,3,0)*0.475*44/12</f>
        <v>1.8335442612004746E-20</v>
      </c>
      <c r="BS170" s="22">
        <f t="shared" si="169"/>
        <v>1.3072719558598709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-1.9065282685915009E-13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534.78683721545372</v>
      </c>
      <c r="T171" s="59">
        <f t="shared" si="142"/>
        <v>710.59298755711075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0.4898023438601341</v>
      </c>
      <c r="AA171" s="21">
        <f>EXP(-LN(2)/25)*AA170+(1-EXP(-LN(2)/25))/(LN(2)/25)*Calculateur!V171*Calculateur!X171*VLOOKUP('Données projet'!$B$9,Paramètres!$A$1:$I$89,3,0)*0.475*44/12</f>
        <v>0.44405579803040629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0.93385814189054039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-5.6843418860808015E-14</v>
      </c>
      <c r="AJ171" s="13">
        <f>AI171*VLOOKUP('Données projet'!$B$10,Paramètres!$A$1:$I$89,3,0)*VLOOKUP('Données projet'!$B$10,Paramètres!$A$1:$I$89,5,0)</f>
        <v>-3.1036506698001178E-14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207.02306964567629</v>
      </c>
      <c r="AO171" s="59">
        <f t="shared" si="144"/>
        <v>342.06887933351783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1.2806268065976738</v>
      </c>
      <c r="AV171" s="21">
        <f>EXP(-LN(2)/25)*AV170+(1-EXP(-LN(2)/25))/(LN(2)/25)*Calculateur!AQ171*Calculateur!AS171*VLOOKUP('Données projet'!$B$10,Paramètres!$A$1:$I$89,3,0)*0.475*44/12</f>
        <v>0.93695238668507819</v>
      </c>
      <c r="AW171" s="21">
        <f>EXP(-LN(2)/2)*AW170+(1-EXP(-LN(2)/2))/(LN(2)/2)*AQ171*AT171*VLOOKUP('Données projet'!$B$10,Paramètres!$A$1:$I$89,3,0)*0.475*44/12</f>
        <v>1.8968565327595885E-20</v>
      </c>
      <c r="AX171" s="21">
        <f t="shared" si="166"/>
        <v>2.2175791932827522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345.45636360520137</v>
      </c>
      <c r="BJ171" s="59">
        <f t="shared" si="146"/>
        <v>469.30074822262549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0.876550724665633</v>
      </c>
      <c r="BQ171" s="21">
        <f>EXP(-LN(2)/25)*BQ170+(1-EXP(-LN(2)/25))/(LN(2)/25)*Calculateur!BL171*Calculateur!BN171*VLOOKUP('Données projet'!$B$11,Paramètres!$A$1:$I$89,3,0)*0.475*44/12</f>
        <v>0.40189013633393167</v>
      </c>
      <c r="BR171" s="21">
        <f>EXP(-LN(2)/2)*BR170+(1-EXP(-LN(2)/2))/(LN(2)/2)*BL171*BO171*VLOOKUP('Données projet'!$B$11,Paramètres!$A$1:$I$89,3,0)*0.475*44/12</f>
        <v>1.296511580700534E-20</v>
      </c>
      <c r="BS171" s="22">
        <f t="shared" si="169"/>
        <v>1.2784408609995648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-1.9065282685915009E-13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534.78683721545372</v>
      </c>
      <c r="T172" s="59">
        <f t="shared" si="142"/>
        <v>710.59298755711075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0.48019761864696753</v>
      </c>
      <c r="AA172" s="21">
        <f>EXP(-LN(2)/25)*AA171+(1-EXP(-LN(2)/25))/(LN(2)/25)*Calculateur!V172*Calculateur!X172*VLOOKUP('Données projet'!$B$9,Paramètres!$A$1:$I$89,3,0)*0.475*44/12</f>
        <v>0.43191306888138531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0.91211068752835289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-5.6843418860808015E-14</v>
      </c>
      <c r="AJ172" s="13">
        <f>AI172*VLOOKUP('Données projet'!$B$10,Paramètres!$A$1:$I$89,3,0)*VLOOKUP('Données projet'!$B$10,Paramètres!$A$1:$I$89,5,0)</f>
        <v>-3.1036506698001178E-14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207.02306964567629</v>
      </c>
      <c r="AO172" s="59">
        <f t="shared" si="144"/>
        <v>342.06887933351783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1.2555144960255178</v>
      </c>
      <c r="AV172" s="21">
        <f>EXP(-LN(2)/25)*AV171+(1-EXP(-LN(2)/25))/(LN(2)/25)*Calculateur!AQ172*Calculateur!AS172*VLOOKUP('Données projet'!$B$10,Paramètres!$A$1:$I$89,3,0)*0.475*44/12</f>
        <v>0.91133137439899015</v>
      </c>
      <c r="AW172" s="21">
        <f>EXP(-LN(2)/2)*AW171+(1-EXP(-LN(2)/2))/(LN(2)/2)*AQ172*AT172*VLOOKUP('Données projet'!$B$10,Paramètres!$A$1:$I$89,3,0)*0.475*44/12</f>
        <v>1.3412801172523076E-20</v>
      </c>
      <c r="AX172" s="21">
        <f t="shared" si="166"/>
        <v>2.1668458704245079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345.45636360520137</v>
      </c>
      <c r="BJ172" s="59">
        <f t="shared" si="146"/>
        <v>469.30074822262549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0.8593620995980904</v>
      </c>
      <c r="BQ172" s="21">
        <f>EXP(-LN(2)/25)*BQ171+(1-EXP(-LN(2)/25))/(LN(2)/25)*Calculateur!BL172*Calculateur!BN172*VLOOKUP('Données projet'!$B$11,Paramètres!$A$1:$I$89,3,0)*0.475*44/12</f>
        <v>0.39090042942139658</v>
      </c>
      <c r="BR172" s="21">
        <f>EXP(-LN(2)/2)*BR171+(1-EXP(-LN(2)/2))/(LN(2)/2)*BL172*BO172*VLOOKUP('Données projet'!$B$11,Paramètres!$A$1:$I$89,3,0)*0.475*44/12</f>
        <v>9.1677213060023732E-21</v>
      </c>
      <c r="BS172" s="22">
        <f t="shared" si="169"/>
        <v>1.2502625290194871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-1.9065282685915009E-13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534.78683721545372</v>
      </c>
      <c r="T173" s="59">
        <f t="shared" si="142"/>
        <v>710.59298755711075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0.47078123623692725</v>
      </c>
      <c r="AA173" s="21">
        <f>EXP(-LN(2)/25)*AA172+(1-EXP(-LN(2)/25))/(LN(2)/25)*Calculateur!V173*Calculateur!X173*VLOOKUP('Données projet'!$B$9,Paramètres!$A$1:$I$89,3,0)*0.475*44/12</f>
        <v>0.42010238329950267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0.89088361953642992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-5.6843418860808015E-14</v>
      </c>
      <c r="AJ173" s="13">
        <f>AI173*VLOOKUP('Données projet'!$B$10,Paramètres!$A$1:$I$89,3,0)*VLOOKUP('Données projet'!$B$10,Paramètres!$A$1:$I$89,5,0)</f>
        <v>-3.1036506698001178E-14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207.02306964567629</v>
      </c>
      <c r="AO173" s="59">
        <f t="shared" si="144"/>
        <v>342.06887933351783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1.2308946225466846</v>
      </c>
      <c r="AV173" s="21">
        <f>EXP(-LN(2)/25)*AV172+(1-EXP(-LN(2)/25))/(LN(2)/25)*Calculateur!AQ173*Calculateur!AS173*VLOOKUP('Données projet'!$B$10,Paramètres!$A$1:$I$89,3,0)*0.475*44/12</f>
        <v>0.88641097004121561</v>
      </c>
      <c r="AW173" s="21">
        <f>EXP(-LN(2)/2)*AW172+(1-EXP(-LN(2)/2))/(LN(2)/2)*AQ173*AT173*VLOOKUP('Données projet'!$B$10,Paramètres!$A$1:$I$89,3,0)*0.475*44/12</f>
        <v>9.4842826637979439E-21</v>
      </c>
      <c r="AX173" s="21">
        <f t="shared" si="166"/>
        <v>2.1173055925879001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345.45636360520137</v>
      </c>
      <c r="BJ173" s="59">
        <f t="shared" si="146"/>
        <v>469.30074822262549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0.84251053298409617</v>
      </c>
      <c r="BQ173" s="21">
        <f>EXP(-LN(2)/25)*BQ172+(1-EXP(-LN(2)/25))/(LN(2)/25)*Calculateur!BL173*Calculateur!BN173*VLOOKUP('Données projet'!$B$11,Paramètres!$A$1:$I$89,3,0)*0.475*44/12</f>
        <v>0.38021123662230832</v>
      </c>
      <c r="BR173" s="21">
        <f>EXP(-LN(2)/2)*BR172+(1-EXP(-LN(2)/2))/(LN(2)/2)*BL173*BO173*VLOOKUP('Données projet'!$B$11,Paramètres!$A$1:$I$89,3,0)*0.475*44/12</f>
        <v>6.4825579035026699E-21</v>
      </c>
      <c r="BS173" s="22">
        <f t="shared" si="169"/>
        <v>1.2227217696064046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-1.9065282685915009E-13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534.78683721545372</v>
      </c>
      <c r="T174" s="59">
        <f t="shared" si="142"/>
        <v>710.59298755711075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0.46154950334252171</v>
      </c>
      <c r="AA174" s="21">
        <f>EXP(-LN(2)/25)*AA173+(1-EXP(-LN(2)/25))/(LN(2)/25)*Calculateur!V174*Calculateur!X174*VLOOKUP('Données projet'!$B$9,Paramètres!$A$1:$I$89,3,0)*0.475*44/12</f>
        <v>0.4086146615359536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0.87016416487847525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-5.6843418860808015E-14</v>
      </c>
      <c r="AJ174" s="13">
        <f>AI174*VLOOKUP('Données projet'!$B$10,Paramètres!$A$1:$I$89,3,0)*VLOOKUP('Données projet'!$B$10,Paramètres!$A$1:$I$89,5,0)</f>
        <v>-3.1036506698001178E-14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207.02306964567629</v>
      </c>
      <c r="AO174" s="59">
        <f t="shared" si="144"/>
        <v>342.06887933351783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1.2067575297701314</v>
      </c>
      <c r="AV174" s="21">
        <f>EXP(-LN(2)/25)*AV173+(1-EXP(-LN(2)/25))/(LN(2)/25)*Calculateur!AQ174*Calculateur!AS174*VLOOKUP('Données projet'!$B$10,Paramètres!$A$1:$I$89,3,0)*0.475*44/12</f>
        <v>0.86217201545111155</v>
      </c>
      <c r="AW174" s="21">
        <f>EXP(-LN(2)/2)*AW173+(1-EXP(-LN(2)/2))/(LN(2)/2)*AQ174*AT174*VLOOKUP('Données projet'!$B$10,Paramètres!$A$1:$I$89,3,0)*0.475*44/12</f>
        <v>6.7064005862615395E-21</v>
      </c>
      <c r="AX174" s="21">
        <f t="shared" si="166"/>
        <v>2.0689295452212431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345.45636360520137</v>
      </c>
      <c r="BJ174" s="59">
        <f t="shared" si="146"/>
        <v>469.30074822262549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0.82598941531296166</v>
      </c>
      <c r="BQ174" s="21">
        <f>EXP(-LN(2)/25)*BQ173+(1-EXP(-LN(2)/25))/(LN(2)/25)*Calculateur!BL174*Calculateur!BN174*VLOOKUP('Données projet'!$B$11,Paramètres!$A$1:$I$89,3,0)*0.475*44/12</f>
        <v>0.36981434036243133</v>
      </c>
      <c r="BR174" s="21">
        <f>EXP(-LN(2)/2)*BR173+(1-EXP(-LN(2)/2))/(LN(2)/2)*BL174*BO174*VLOOKUP('Données projet'!$B$11,Paramètres!$A$1:$I$89,3,0)*0.475*44/12</f>
        <v>4.5838606530011866E-21</v>
      </c>
      <c r="BS174" s="22">
        <f t="shared" si="169"/>
        <v>1.1958037556753931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-1.9065282685915009E-13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534.78683721545372</v>
      </c>
      <c r="T175" s="59">
        <f t="shared" si="142"/>
        <v>710.59298755711075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0.45249879909937435</v>
      </c>
      <c r="AA175" s="21">
        <f>EXP(-LN(2)/25)*AA174+(1-EXP(-LN(2)/25))/(LN(2)/25)*Calculateur!V175*Calculateur!X175*VLOOKUP('Données projet'!$B$9,Paramètres!$A$1:$I$89,3,0)*0.475*44/12</f>
        <v>0.39744107212814178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0.84993987122751613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-5.6843418860808015E-14</v>
      </c>
      <c r="AJ175" s="13">
        <f>AI175*VLOOKUP('Données projet'!$B$10,Paramètres!$A$1:$I$89,3,0)*VLOOKUP('Données projet'!$B$10,Paramètres!$A$1:$I$89,5,0)</f>
        <v>-3.1036506698001178E-14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207.02306964567629</v>
      </c>
      <c r="AO175" s="59">
        <f t="shared" si="144"/>
        <v>342.06887933351783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1.1830937506607535</v>
      </c>
      <c r="AV175" s="21">
        <f>EXP(-LN(2)/25)*AV174+(1-EXP(-LN(2)/25))/(LN(2)/25)*Calculateur!AQ175*Calculateur!AS175*VLOOKUP('Données projet'!$B$10,Paramètres!$A$1:$I$89,3,0)*0.475*44/12</f>
        <v>0.83859587634894517</v>
      </c>
      <c r="AW175" s="21">
        <f>EXP(-LN(2)/2)*AW174+(1-EXP(-LN(2)/2))/(LN(2)/2)*AQ175*AT175*VLOOKUP('Données projet'!$B$10,Paramètres!$A$1:$I$89,3,0)*0.475*44/12</f>
        <v>4.7421413318989727E-21</v>
      </c>
      <c r="AX175" s="21">
        <f t="shared" si="166"/>
        <v>2.0216896270096987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345.45636360520137</v>
      </c>
      <c r="BJ175" s="59">
        <f t="shared" si="146"/>
        <v>469.30074822262549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0.80979226668247128</v>
      </c>
      <c r="BQ175" s="21">
        <f>EXP(-LN(2)/25)*BQ174+(1-EXP(-LN(2)/25))/(LN(2)/25)*Calculateur!BL175*Calculateur!BN175*VLOOKUP('Données projet'!$B$11,Paramètres!$A$1:$I$89,3,0)*0.475*44/12</f>
        <v>0.35970174777752972</v>
      </c>
      <c r="BR175" s="21">
        <f>EXP(-LN(2)/2)*BR174+(1-EXP(-LN(2)/2))/(LN(2)/2)*BL175*BO175*VLOOKUP('Données projet'!$B$11,Paramètres!$A$1:$I$89,3,0)*0.475*44/12</f>
        <v>3.241278951751335E-21</v>
      </c>
      <c r="BS175" s="22">
        <f t="shared" si="169"/>
        <v>1.169494014460001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-1.9065282685915009E-13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534.78683721545372</v>
      </c>
      <c r="T176" s="59">
        <f t="shared" si="142"/>
        <v>710.59298755711075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0.44362557364605065</v>
      </c>
      <c r="AA176" s="21">
        <f>EXP(-LN(2)/25)*AA175+(1-EXP(-LN(2)/25))/(LN(2)/25)*Calculateur!V176*Calculateur!X176*VLOOKUP('Données projet'!$B$9,Paramètres!$A$1:$I$89,3,0)*0.475*44/12</f>
        <v>0.38657302511028013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0.83019859875633073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-5.6843418860808015E-14</v>
      </c>
      <c r="AJ176" s="13">
        <f>AI176*VLOOKUP('Données projet'!$B$10,Paramètres!$A$1:$I$89,3,0)*VLOOKUP('Données projet'!$B$10,Paramètres!$A$1:$I$89,5,0)</f>
        <v>-3.1036506698001178E-14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207.02306964567629</v>
      </c>
      <c r="AO176" s="59">
        <f t="shared" si="144"/>
        <v>342.06887933351783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1.1598940038262304</v>
      </c>
      <c r="AV176" s="21">
        <f>EXP(-LN(2)/25)*AV175+(1-EXP(-LN(2)/25))/(LN(2)/25)*Calculateur!AQ176*Calculateur!AS176*VLOOKUP('Données projet'!$B$10,Paramètres!$A$1:$I$89,3,0)*0.475*44/12</f>
        <v>0.81566442801034278</v>
      </c>
      <c r="AW176" s="21">
        <f>EXP(-LN(2)/2)*AW175+(1-EXP(-LN(2)/2))/(LN(2)/2)*AQ176*AT176*VLOOKUP('Données projet'!$B$10,Paramètres!$A$1:$I$89,3,0)*0.475*44/12</f>
        <v>3.3532002931307701E-21</v>
      </c>
      <c r="AX176" s="21">
        <f t="shared" si="166"/>
        <v>1.9755584318365731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345.45636360520137</v>
      </c>
      <c r="BJ176" s="59">
        <f t="shared" si="146"/>
        <v>469.30074822262549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0.79391273425733966</v>
      </c>
      <c r="BQ176" s="21">
        <f>EXP(-LN(2)/25)*BQ175+(1-EXP(-LN(2)/25))/(LN(2)/25)*Calculateur!BL176*Calculateur!BN176*VLOOKUP('Données projet'!$B$11,Paramètres!$A$1:$I$89,3,0)*0.475*44/12</f>
        <v>0.34986568456866035</v>
      </c>
      <c r="BR176" s="21">
        <f>EXP(-LN(2)/2)*BR175+(1-EXP(-LN(2)/2))/(LN(2)/2)*BL176*BO176*VLOOKUP('Données projet'!$B$11,Paramètres!$A$1:$I$89,3,0)*0.475*44/12</f>
        <v>2.2919303265005933E-21</v>
      </c>
      <c r="BS176" s="22">
        <f t="shared" si="169"/>
        <v>1.1437784188260001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-1.9065282685915009E-13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534.78683721545372</v>
      </c>
      <c r="T177" s="59">
        <f t="shared" si="142"/>
        <v>710.59298755711075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0.43492634673173347</v>
      </c>
      <c r="AA177" s="21">
        <f>EXP(-LN(2)/25)*AA176+(1-EXP(-LN(2)/25))/(LN(2)/25)*Calculateur!V177*Calculateur!X177*VLOOKUP('Données projet'!$B$9,Paramètres!$A$1:$I$89,3,0)*0.475*44/12</f>
        <v>0.37600216540964765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0.81092851214138117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-5.6843418860808015E-14</v>
      </c>
      <c r="AJ177" s="13">
        <f>AI177*VLOOKUP('Données projet'!$B$10,Paramètres!$A$1:$I$89,3,0)*VLOOKUP('Données projet'!$B$10,Paramètres!$A$1:$I$89,5,0)</f>
        <v>-3.1036506698001178E-14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207.02306964567629</v>
      </c>
      <c r="AO177" s="59">
        <f t="shared" si="144"/>
        <v>342.06887933351783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1.1371491898766839</v>
      </c>
      <c r="AV177" s="21">
        <f>EXP(-LN(2)/25)*AV176+(1-EXP(-LN(2)/25))/(LN(2)/25)*Calculateur!AQ177*Calculateur!AS177*VLOOKUP('Données projet'!$B$10,Paramètres!$A$1:$I$89,3,0)*0.475*44/12</f>
        <v>0.79336004133247195</v>
      </c>
      <c r="AW177" s="21">
        <f>EXP(-LN(2)/2)*AW176+(1-EXP(-LN(2)/2))/(LN(2)/2)*AQ177*AT177*VLOOKUP('Données projet'!$B$10,Paramètres!$A$1:$I$89,3,0)*0.475*44/12</f>
        <v>2.3710706659494867E-21</v>
      </c>
      <c r="AX177" s="21">
        <f t="shared" si="166"/>
        <v>1.9305092312091559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345.45636360520137</v>
      </c>
      <c r="BJ177" s="59">
        <f t="shared" si="146"/>
        <v>469.30074822262549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0.77834458977750653</v>
      </c>
      <c r="BQ177" s="21">
        <f>EXP(-LN(2)/25)*BQ176+(1-EXP(-LN(2)/25))/(LN(2)/25)*Calculateur!BL177*Calculateur!BN177*VLOOKUP('Données projet'!$B$11,Paramètres!$A$1:$I$89,3,0)*0.475*44/12</f>
        <v>0.34029858902549359</v>
      </c>
      <c r="BR177" s="21">
        <f>EXP(-LN(2)/2)*BR176+(1-EXP(-LN(2)/2))/(LN(2)/2)*BL177*BO177*VLOOKUP('Données projet'!$B$11,Paramètres!$A$1:$I$89,3,0)*0.475*44/12</f>
        <v>1.6206394758756675E-21</v>
      </c>
      <c r="BS177" s="22">
        <f t="shared" si="169"/>
        <v>1.118643178803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-1.9065282685915009E-13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534.78683721545372</v>
      </c>
      <c r="T178" s="59">
        <f t="shared" si="142"/>
        <v>710.59298755711075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0.42639770635120156</v>
      </c>
      <c r="AA178" s="21">
        <f>EXP(-LN(2)/25)*AA177+(1-EXP(-LN(2)/25))/(LN(2)/25)*Calculateur!V178*Calculateur!X178*VLOOKUP('Données projet'!$B$9,Paramètres!$A$1:$I$89,3,0)*0.475*44/12</f>
        <v>0.36572036642342631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0.79211807277462787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-5.6843418860808015E-14</v>
      </c>
      <c r="AJ178" s="13">
        <f>AI178*VLOOKUP('Données projet'!$B$10,Paramètres!$A$1:$I$89,3,0)*VLOOKUP('Données projet'!$B$10,Paramètres!$A$1:$I$89,5,0)</f>
        <v>-3.1036506698001178E-14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207.02306964567629</v>
      </c>
      <c r="AO178" s="59">
        <f t="shared" si="144"/>
        <v>342.06887933351783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1.1148503878557214</v>
      </c>
      <c r="AV178" s="21">
        <f>EXP(-LN(2)/25)*AV177+(1-EXP(-LN(2)/25))/(LN(2)/25)*Calculateur!AQ178*Calculateur!AS178*VLOOKUP('Données projet'!$B$10,Paramètres!$A$1:$I$89,3,0)*0.475*44/12</f>
        <v>0.77166556928124419</v>
      </c>
      <c r="AW178" s="21">
        <f>EXP(-LN(2)/2)*AW177+(1-EXP(-LN(2)/2))/(LN(2)/2)*AQ178*AT178*VLOOKUP('Données projet'!$B$10,Paramètres!$A$1:$I$89,3,0)*0.475*44/12</f>
        <v>1.6766001465653853E-21</v>
      </c>
      <c r="AX178" s="21">
        <f t="shared" si="166"/>
        <v>1.8865159571369656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345.45636360520137</v>
      </c>
      <c r="BJ178" s="59">
        <f t="shared" si="146"/>
        <v>469.30074822262549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0.76308172711529243</v>
      </c>
      <c r="BQ178" s="21">
        <f>EXP(-LN(2)/25)*BQ177+(1-EXP(-LN(2)/25))/(LN(2)/25)*Calculateur!BL178*Calculateur!BN178*VLOOKUP('Données projet'!$B$11,Paramètres!$A$1:$I$89,3,0)*0.475*44/12</f>
        <v>0.33099310621306643</v>
      </c>
      <c r="BR178" s="21">
        <f>EXP(-LN(2)/2)*BR177+(1-EXP(-LN(2)/2))/(LN(2)/2)*BL178*BO178*VLOOKUP('Données projet'!$B$11,Paramètres!$A$1:$I$89,3,0)*0.475*44/12</f>
        <v>1.1459651632502967E-21</v>
      </c>
      <c r="BS178" s="22">
        <f t="shared" si="169"/>
        <v>1.0940748333283588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-1.9065282685915009E-13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534.78683721545372</v>
      </c>
      <c r="T179" s="59">
        <f t="shared" si="142"/>
        <v>710.59298755711075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0.41803630740657488</v>
      </c>
      <c r="AA179" s="21">
        <f>EXP(-LN(2)/25)*AA178+(1-EXP(-LN(2)/25))/(LN(2)/25)*Calculateur!V179*Calculateur!X179*VLOOKUP('Données projet'!$B$9,Paramètres!$A$1:$I$89,3,0)*0.475*44/12</f>
        <v>0.3557197237711795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0.77375603117775438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-5.6843418860808015E-14</v>
      </c>
      <c r="AJ179" s="13">
        <f>AI179*VLOOKUP('Données projet'!$B$10,Paramètres!$A$1:$I$89,3,0)*VLOOKUP('Données projet'!$B$10,Paramètres!$A$1:$I$89,5,0)</f>
        <v>-3.1036506698001178E-14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207.02306964567629</v>
      </c>
      <c r="AO179" s="59">
        <f t="shared" si="144"/>
        <v>342.06887933351783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1.0929888517414637</v>
      </c>
      <c r="AV179" s="21">
        <f>EXP(-LN(2)/25)*AV178+(1-EXP(-LN(2)/25))/(LN(2)/25)*Calculateur!AQ179*Calculateur!AS179*VLOOKUP('Données projet'!$B$10,Paramètres!$A$1:$I$89,3,0)*0.475*44/12</f>
        <v>0.7505643337091199</v>
      </c>
      <c r="AW179" s="21">
        <f>EXP(-LN(2)/2)*AW178+(1-EXP(-LN(2)/2))/(LN(2)/2)*AQ179*AT179*VLOOKUP('Données projet'!$B$10,Paramètres!$A$1:$I$89,3,0)*0.475*44/12</f>
        <v>1.1855353329747435E-21</v>
      </c>
      <c r="AX179" s="21">
        <f t="shared" si="166"/>
        <v>1.8435531854505836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345.45636360520137</v>
      </c>
      <c r="BJ179" s="59">
        <f t="shared" si="146"/>
        <v>469.30074822262549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0.74811815988045727</v>
      </c>
      <c r="BQ179" s="21">
        <f>EXP(-LN(2)/25)*BQ178+(1-EXP(-LN(2)/25))/(LN(2)/25)*Calculateur!BL179*Calculateur!BN179*VLOOKUP('Données projet'!$B$11,Paramètres!$A$1:$I$89,3,0)*0.475*44/12</f>
        <v>0.32194208231749916</v>
      </c>
      <c r="BR179" s="21">
        <f>EXP(-LN(2)/2)*BR178+(1-EXP(-LN(2)/2))/(LN(2)/2)*BL179*BO179*VLOOKUP('Données projet'!$B$11,Paramètres!$A$1:$I$89,3,0)*0.475*44/12</f>
        <v>8.1031973793783374E-22</v>
      </c>
      <c r="BS179" s="22">
        <f t="shared" si="169"/>
        <v>1.0700602421979564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-1.9065282685915009E-13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534.78683721545372</v>
      </c>
      <c r="T180" s="59">
        <f t="shared" si="142"/>
        <v>710.59298755711075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0.40983887039530259</v>
      </c>
      <c r="AA180" s="21">
        <f>EXP(-LN(2)/25)*AA179+(1-EXP(-LN(2)/25))/(LN(2)/25)*Calculateur!V180*Calculateur!X180*VLOOKUP('Données projet'!$B$9,Paramètres!$A$1:$I$89,3,0)*0.475*44/12</f>
        <v>0.34599254921816935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0.75583141961347189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-5.6843418860808015E-14</v>
      </c>
      <c r="AJ180" s="13">
        <f>AI180*VLOOKUP('Données projet'!$B$10,Paramètres!$A$1:$I$89,3,0)*VLOOKUP('Données projet'!$B$10,Paramètres!$A$1:$I$89,5,0)</f>
        <v>-3.1036506698001178E-14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207.02306964567629</v>
      </c>
      <c r="AO180" s="59">
        <f t="shared" si="144"/>
        <v>342.06887933351783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1.0715560070161863</v>
      </c>
      <c r="AV180" s="21">
        <f>EXP(-LN(2)/25)*AV179+(1-EXP(-LN(2)/25))/(LN(2)/25)*Calculateur!AQ180*Calculateur!AS180*VLOOKUP('Données projet'!$B$10,Paramètres!$A$1:$I$89,3,0)*0.475*44/12</f>
        <v>0.73004011253338119</v>
      </c>
      <c r="AW180" s="21">
        <f>EXP(-LN(2)/2)*AW179+(1-EXP(-LN(2)/2))/(LN(2)/2)*AQ180*AT180*VLOOKUP('Données projet'!$B$10,Paramètres!$A$1:$I$89,3,0)*0.475*44/12</f>
        <v>8.3830007328269282E-22</v>
      </c>
      <c r="AX180" s="21">
        <f t="shared" si="166"/>
        <v>1.8015961195495676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345.45636360520137</v>
      </c>
      <c r="BJ180" s="59">
        <f t="shared" si="146"/>
        <v>469.30074822262549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0.73344801907222246</v>
      </c>
      <c r="BQ180" s="21">
        <f>EXP(-LN(2)/25)*BQ179+(1-EXP(-LN(2)/25))/(LN(2)/25)*Calculateur!BL180*Calculateur!BN180*VLOOKUP('Données projet'!$B$11,Paramètres!$A$1:$I$89,3,0)*0.475*44/12</f>
        <v>0.31313855914632882</v>
      </c>
      <c r="BR180" s="21">
        <f>EXP(-LN(2)/2)*BR179+(1-EXP(-LN(2)/2))/(LN(2)/2)*BL180*BO180*VLOOKUP('Données projet'!$B$11,Paramètres!$A$1:$I$89,3,0)*0.475*44/12</f>
        <v>5.7298258162514833E-22</v>
      </c>
      <c r="BS180" s="22">
        <f t="shared" si="169"/>
        <v>1.0465865782185513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-1.9065282685915009E-13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534.78683721545372</v>
      </c>
      <c r="T181" s="59">
        <f t="shared" si="142"/>
        <v>710.59298755711075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0.40180218012387847</v>
      </c>
      <c r="AA181" s="21">
        <f>EXP(-LN(2)/25)*AA180+(1-EXP(-LN(2)/25))/(LN(2)/25)*Calculateur!V181*Calculateur!X181*VLOOKUP('Données projet'!$B$9,Paramètres!$A$1:$I$89,3,0)*0.475*44/12</f>
        <v>0.33653136476484113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0.73833354488871961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-5.6843418860808015E-14</v>
      </c>
      <c r="AJ181" s="13">
        <f>AI181*VLOOKUP('Données projet'!$B$10,Paramètres!$A$1:$I$89,3,0)*VLOOKUP('Données projet'!$B$10,Paramètres!$A$1:$I$89,5,0)</f>
        <v>-3.1036506698001178E-14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207.02306964567629</v>
      </c>
      <c r="AO181" s="59">
        <f t="shared" si="144"/>
        <v>342.06887933351783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1.0505434473032269</v>
      </c>
      <c r="AV181" s="21">
        <f>EXP(-LN(2)/25)*AV180+(1-EXP(-LN(2)/25))/(LN(2)/25)*Calculateur!AQ181*Calculateur!AS181*VLOOKUP('Données projet'!$B$10,Paramètres!$A$1:$I$89,3,0)*0.475*44/12</f>
        <v>0.71007712726501493</v>
      </c>
      <c r="AW181" s="21">
        <f>EXP(-LN(2)/2)*AW180+(1-EXP(-LN(2)/2))/(LN(2)/2)*AQ181*AT181*VLOOKUP('Données projet'!$B$10,Paramètres!$A$1:$I$89,3,0)*0.475*44/12</f>
        <v>5.9276766648737187E-22</v>
      </c>
      <c r="AX181" s="21">
        <f t="shared" si="166"/>
        <v>1.7606205745682417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345.45636360520137</v>
      </c>
      <c r="BJ181" s="59">
        <f t="shared" si="146"/>
        <v>469.30074822262549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0.71906555077733481</v>
      </c>
      <c r="BQ181" s="21">
        <f>EXP(-LN(2)/25)*BQ180+(1-EXP(-LN(2)/25))/(LN(2)/25)*Calculateur!BL181*Calculateur!BN181*VLOOKUP('Données projet'!$B$11,Paramètres!$A$1:$I$89,3,0)*0.475*44/12</f>
        <v>0.30457576877923132</v>
      </c>
      <c r="BR181" s="21">
        <f>EXP(-LN(2)/2)*BR180+(1-EXP(-LN(2)/2))/(LN(2)/2)*BL181*BO181*VLOOKUP('Données projet'!$B$11,Paramètres!$A$1:$I$89,3,0)*0.475*44/12</f>
        <v>4.0515986896891687E-22</v>
      </c>
      <c r="BS181" s="22">
        <f t="shared" si="169"/>
        <v>1.0236413195565661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-1.9065282685915009E-13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534.78683721545372</v>
      </c>
      <c r="T182" s="59">
        <f t="shared" si="142"/>
        <v>710.59298755711075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0.39392308444677993</v>
      </c>
      <c r="AA182" s="21">
        <f>EXP(-LN(2)/25)*AA181+(1-EXP(-LN(2)/25))/(LN(2)/25)*Calculateur!V182*Calculateur!X182*VLOOKUP('Données projet'!$B$9,Paramètres!$A$1:$I$89,3,0)*0.475*44/12</f>
        <v>0.32732889689793121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0.72125198134471113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-5.6843418860808015E-14</v>
      </c>
      <c r="AJ182" s="13">
        <f>AI182*VLOOKUP('Données projet'!$B$10,Paramètres!$A$1:$I$89,3,0)*VLOOKUP('Données projet'!$B$10,Paramètres!$A$1:$I$89,5,0)</f>
        <v>-3.1036506698001178E-14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207.02306964567629</v>
      </c>
      <c r="AO182" s="59">
        <f t="shared" si="144"/>
        <v>342.06887933351783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1.0299429310698429</v>
      </c>
      <c r="AV182" s="21">
        <f>EXP(-LN(2)/25)*AV181+(1-EXP(-LN(2)/25))/(LN(2)/25)*Calculateur!AQ182*Calculateur!AS182*VLOOKUP('Données projet'!$B$10,Paramètres!$A$1:$I$89,3,0)*0.475*44/12</f>
        <v>0.69066003087861982</v>
      </c>
      <c r="AW182" s="21">
        <f>EXP(-LN(2)/2)*AW181+(1-EXP(-LN(2)/2))/(LN(2)/2)*AQ182*AT182*VLOOKUP('Données projet'!$B$10,Paramètres!$A$1:$I$89,3,0)*0.475*44/12</f>
        <v>4.1915003664134646E-22</v>
      </c>
      <c r="AX182" s="21">
        <f t="shared" si="166"/>
        <v>1.7206029619484626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345.45636360520137</v>
      </c>
      <c r="BJ182" s="59">
        <f t="shared" si="146"/>
        <v>469.30074822262549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0.70496511391327044</v>
      </c>
      <c r="BQ182" s="21">
        <f>EXP(-LN(2)/25)*BQ181+(1-EXP(-LN(2)/25))/(LN(2)/25)*Calculateur!BL182*Calculateur!BN182*VLOOKUP('Données projet'!$B$11,Paramètres!$A$1:$I$89,3,0)*0.475*44/12</f>
        <v>0.29624712836501965</v>
      </c>
      <c r="BR182" s="21">
        <f>EXP(-LN(2)/2)*BR181+(1-EXP(-LN(2)/2))/(LN(2)/2)*BL182*BO182*VLOOKUP('Données projet'!$B$11,Paramètres!$A$1:$I$89,3,0)*0.475*44/12</f>
        <v>2.8649129081257416E-22</v>
      </c>
      <c r="BS182" s="22">
        <f t="shared" si="169"/>
        <v>1.0012122422782901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-1.9065282685915009E-13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534.78683721545372</v>
      </c>
      <c r="T183" s="59">
        <f t="shared" si="142"/>
        <v>710.59298755711075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0.38619849303013548</v>
      </c>
      <c r="AA183" s="21">
        <f>EXP(-LN(2)/25)*AA182+(1-EXP(-LN(2)/25))/(LN(2)/25)*Calculateur!V183*Calculateur!X183*VLOOKUP('Données projet'!$B$9,Paramètres!$A$1:$I$89,3,0)*0.475*44/12</f>
        <v>0.31837807099877874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0.70457656402891422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-5.6843418860808015E-14</v>
      </c>
      <c r="AJ183" s="13">
        <f>AI183*VLOOKUP('Données projet'!$B$10,Paramètres!$A$1:$I$89,3,0)*VLOOKUP('Données projet'!$B$10,Paramètres!$A$1:$I$89,5,0)</f>
        <v>-3.1036506698001178E-14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207.02306964567629</v>
      </c>
      <c r="AO183" s="59">
        <f t="shared" si="144"/>
        <v>342.06887933351783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1.0097463783947214</v>
      </c>
      <c r="AV183" s="21">
        <f>EXP(-LN(2)/25)*AV182+(1-EXP(-LN(2)/25))/(LN(2)/25)*Calculateur!AQ183*Calculateur!AS183*VLOOKUP('Données projet'!$B$10,Paramètres!$A$1:$I$89,3,0)*0.475*44/12</f>
        <v>0.6717738960140115</v>
      </c>
      <c r="AW183" s="21">
        <f>EXP(-LN(2)/2)*AW182+(1-EXP(-LN(2)/2))/(LN(2)/2)*AQ183*AT183*VLOOKUP('Données projet'!$B$10,Paramètres!$A$1:$I$89,3,0)*0.475*44/12</f>
        <v>2.9638383324368598E-22</v>
      </c>
      <c r="AX183" s="21">
        <f t="shared" si="166"/>
        <v>1.681520274408733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345.45636360520137</v>
      </c>
      <c r="BJ183" s="59">
        <f t="shared" si="146"/>
        <v>469.30074822262549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0.69114117801569308</v>
      </c>
      <c r="BQ183" s="21">
        <f>EXP(-LN(2)/25)*BQ182+(1-EXP(-LN(2)/25))/(LN(2)/25)*Calculateur!BL183*Calculateur!BN183*VLOOKUP('Données projet'!$B$11,Paramètres!$A$1:$I$89,3,0)*0.475*44/12</f>
        <v>0.2881462350609188</v>
      </c>
      <c r="BR183" s="21">
        <f>EXP(-LN(2)/2)*BR182+(1-EXP(-LN(2)/2))/(LN(2)/2)*BL183*BO183*VLOOKUP('Données projet'!$B$11,Paramètres!$A$1:$I$89,3,0)*0.475*44/12</f>
        <v>2.0257993448445843E-22</v>
      </c>
      <c r="BS183" s="22">
        <f t="shared" si="169"/>
        <v>0.97928741307661182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-1.9065282685915009E-13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534.78683721545372</v>
      </c>
      <c r="T184" s="59">
        <f t="shared" si="142"/>
        <v>710.59298755711075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0.37862537613963587</v>
      </c>
      <c r="AA184" s="21">
        <f>EXP(-LN(2)/25)*AA183+(1-EXP(-LN(2)/25))/(LN(2)/25)*Calculateur!V184*Calculateur!X184*VLOOKUP('Données projet'!$B$9,Paramètres!$A$1:$I$89,3,0)*0.475*44/12</f>
        <v>0.30967200590454202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0.6882973820441779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-5.6843418860808015E-14</v>
      </c>
      <c r="AJ184" s="13">
        <f>AI184*VLOOKUP('Données projet'!$B$10,Paramètres!$A$1:$I$89,3,0)*VLOOKUP('Données projet'!$B$10,Paramètres!$A$1:$I$89,5,0)</f>
        <v>-3.1036506698001178E-14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207.02306964567629</v>
      </c>
      <c r="AO184" s="59">
        <f t="shared" si="144"/>
        <v>342.06887933351783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0.98994586779887817</v>
      </c>
      <c r="AV184" s="21">
        <f>EXP(-LN(2)/25)*AV183+(1-EXP(-LN(2)/25))/(LN(2)/25)*Calculateur!AQ184*Calculateur!AS184*VLOOKUP('Données projet'!$B$10,Paramètres!$A$1:$I$89,3,0)*0.475*44/12</f>
        <v>0.65340420350045447</v>
      </c>
      <c r="AW184" s="21">
        <f>EXP(-LN(2)/2)*AW183+(1-EXP(-LN(2)/2))/(LN(2)/2)*AQ184*AT184*VLOOKUP('Données projet'!$B$10,Paramètres!$A$1:$I$89,3,0)*0.475*44/12</f>
        <v>2.0957501832067327E-22</v>
      </c>
      <c r="AX184" s="21">
        <f t="shared" si="166"/>
        <v>1.6433500712993325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345.45636360520137</v>
      </c>
      <c r="BJ184" s="59">
        <f t="shared" si="146"/>
        <v>469.30074822262549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0.67758832106929889</v>
      </c>
      <c r="BQ184" s="21">
        <f>EXP(-LN(2)/25)*BQ183+(1-EXP(-LN(2)/25))/(LN(2)/25)*Calculateur!BL184*Calculateur!BN184*VLOOKUP('Données projet'!$B$11,Paramètres!$A$1:$I$89,3,0)*0.475*44/12</f>
        <v>0.28026686111022603</v>
      </c>
      <c r="BR184" s="21">
        <f>EXP(-LN(2)/2)*BR183+(1-EXP(-LN(2)/2))/(LN(2)/2)*BL184*BO184*VLOOKUP('Données projet'!$B$11,Paramètres!$A$1:$I$89,3,0)*0.475*44/12</f>
        <v>1.4324564540628708E-22</v>
      </c>
      <c r="BS184" s="22">
        <f t="shared" si="169"/>
        <v>0.95785518217952492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-1.9065282685915009E-13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534.78683721545372</v>
      </c>
      <c r="T185" s="59">
        <f t="shared" si="142"/>
        <v>710.59298755711075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0.37120076345221376</v>
      </c>
      <c r="AA185" s="21">
        <f>EXP(-LN(2)/25)*AA184+(1-EXP(-LN(2)/25))/(LN(2)/25)*Calculateur!V185*Calculateur!X185*VLOOKUP('Données projet'!$B$9,Paramètres!$A$1:$I$89,3,0)*0.475*44/12</f>
        <v>0.30120400861813929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0.67240477207035299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-5.6843418860808015E-14</v>
      </c>
      <c r="AJ185" s="13">
        <f>AI185*VLOOKUP('Données projet'!$B$10,Paramètres!$A$1:$I$89,3,0)*VLOOKUP('Données projet'!$B$10,Paramètres!$A$1:$I$89,5,0)</f>
        <v>-3.1036506698001178E-14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207.02306964567629</v>
      </c>
      <c r="AO185" s="59">
        <f t="shared" si="144"/>
        <v>342.06887933351783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0.97053363313870045</v>
      </c>
      <c r="AV185" s="21">
        <f>EXP(-LN(2)/25)*AV184+(1-EXP(-LN(2)/25))/(LN(2)/25)*Calculateur!AQ185*Calculateur!AS185*VLOOKUP('Données projet'!$B$10,Paramètres!$A$1:$I$89,3,0)*0.475*44/12</f>
        <v>0.63553683119470084</v>
      </c>
      <c r="AW185" s="21">
        <f>EXP(-LN(2)/2)*AW184+(1-EXP(-LN(2)/2))/(LN(2)/2)*AQ185*AT185*VLOOKUP('Données projet'!$B$10,Paramètres!$A$1:$I$89,3,0)*0.475*44/12</f>
        <v>1.4819191662184301E-22</v>
      </c>
      <c r="AX185" s="21">
        <f t="shared" si="166"/>
        <v>1.6060704643334014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345.45636360520137</v>
      </c>
      <c r="BJ185" s="59">
        <f t="shared" si="146"/>
        <v>469.30074822262549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0.66430122738119701</v>
      </c>
      <c r="BQ185" s="21">
        <f>EXP(-LN(2)/25)*BQ184+(1-EXP(-LN(2)/25))/(LN(2)/25)*Calculateur!BL185*Calculateur!BN185*VLOOKUP('Données projet'!$B$11,Paramètres!$A$1:$I$89,3,0)*0.475*44/12</f>
        <v>0.27260294905457322</v>
      </c>
      <c r="BR185" s="21">
        <f>EXP(-LN(2)/2)*BR184+(1-EXP(-LN(2)/2))/(LN(2)/2)*BL185*BO185*VLOOKUP('Données projet'!$B$11,Paramètres!$A$1:$I$89,3,0)*0.475*44/12</f>
        <v>1.0128996724222922E-22</v>
      </c>
      <c r="BS185" s="22">
        <f t="shared" si="169"/>
        <v>0.93690417643577018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-1.9065282685915009E-13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534.78683721545372</v>
      </c>
      <c r="T186" s="59">
        <f t="shared" si="142"/>
        <v>710.59298755711075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0.36392174289102541</v>
      </c>
      <c r="AA186" s="21">
        <f>EXP(-LN(2)/25)*AA185+(1-EXP(-LN(2)/25))/(LN(2)/25)*Calculateur!V186*Calculateur!X186*VLOOKUP('Données projet'!$B$9,Paramètres!$A$1:$I$89,3,0)*0.475*44/12</f>
        <v>0.29296756916284589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0.65688931205387124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-5.6843418860808015E-14</v>
      </c>
      <c r="AJ186" s="13">
        <f>AI186*VLOOKUP('Données projet'!$B$10,Paramètres!$A$1:$I$89,3,0)*VLOOKUP('Données projet'!$B$10,Paramètres!$A$1:$I$89,5,0)</f>
        <v>-3.1036506698001178E-14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207.02306964567629</v>
      </c>
      <c r="AO186" s="59">
        <f t="shared" si="144"/>
        <v>342.06887933351783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0.95150206055991482</v>
      </c>
      <c r="AV186" s="21">
        <f>EXP(-LN(2)/25)*AV185+(1-EXP(-LN(2)/25))/(LN(2)/25)*Calculateur!AQ186*Calculateur!AS186*VLOOKUP('Données projet'!$B$10,Paramètres!$A$1:$I$89,3,0)*0.475*44/12</f>
        <v>0.61815804312425238</v>
      </c>
      <c r="AW186" s="21">
        <f>EXP(-LN(2)/2)*AW185+(1-EXP(-LN(2)/2))/(LN(2)/2)*AQ186*AT186*VLOOKUP('Données projet'!$B$10,Paramètres!$A$1:$I$89,3,0)*0.475*44/12</f>
        <v>1.0478750916033665E-22</v>
      </c>
      <c r="AX186" s="21">
        <f t="shared" si="166"/>
        <v>1.5696601036841673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345.45636360520137</v>
      </c>
      <c r="BJ186" s="59">
        <f t="shared" si="146"/>
        <v>469.30074822262549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0.65127468549599188</v>
      </c>
      <c r="BQ186" s="21">
        <f>EXP(-LN(2)/25)*BQ185+(1-EXP(-LN(2)/25))/(LN(2)/25)*Calculateur!BL186*Calculateur!BN186*VLOOKUP('Données projet'!$B$11,Paramètres!$A$1:$I$89,3,0)*0.475*44/12</f>
        <v>0.26514860707710985</v>
      </c>
      <c r="BR186" s="21">
        <f>EXP(-LN(2)/2)*BR185+(1-EXP(-LN(2)/2))/(LN(2)/2)*BL186*BO186*VLOOKUP('Données projet'!$B$11,Paramètres!$A$1:$I$89,3,0)*0.475*44/12</f>
        <v>7.1622822703143541E-23</v>
      </c>
      <c r="BS186" s="22">
        <f t="shared" si="169"/>
        <v>0.91642329257310173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-1.9065282685915009E-13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534.78683721545372</v>
      </c>
      <c r="T187" s="59">
        <f t="shared" si="142"/>
        <v>710.59298755711075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0.35678545948327783</v>
      </c>
      <c r="AA187" s="21">
        <f>EXP(-LN(2)/25)*AA186+(1-EXP(-LN(2)/25))/(LN(2)/25)*Calculateur!V187*Calculateur!X187*VLOOKUP('Données projet'!$B$9,Paramètres!$A$1:$I$89,3,0)*0.475*44/12</f>
        <v>0.28495635557759297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0.6417418150608708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-5.6843418860808015E-14</v>
      </c>
      <c r="AJ187" s="13">
        <f>AI187*VLOOKUP('Données projet'!$B$10,Paramètres!$A$1:$I$89,3,0)*VLOOKUP('Données projet'!$B$10,Paramètres!$A$1:$I$89,5,0)</f>
        <v>-3.1036506698001178E-14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207.02306964567629</v>
      </c>
      <c r="AO187" s="59">
        <f t="shared" si="144"/>
        <v>342.06887933351783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0.93284368551128616</v>
      </c>
      <c r="AV187" s="21">
        <f>EXP(-LN(2)/25)*AV186+(1-EXP(-LN(2)/25))/(LN(2)/25)*Calculateur!AQ187*Calculateur!AS187*VLOOKUP('Données projet'!$B$10,Paramètres!$A$1:$I$89,3,0)*0.475*44/12</f>
        <v>0.60125447892750106</v>
      </c>
      <c r="AW187" s="21">
        <f>EXP(-LN(2)/2)*AW186+(1-EXP(-LN(2)/2))/(LN(2)/2)*AQ187*AT187*VLOOKUP('Données projet'!$B$10,Paramètres!$A$1:$I$89,3,0)*0.475*44/12</f>
        <v>7.4095958310921519E-23</v>
      </c>
      <c r="AX187" s="21">
        <f t="shared" si="166"/>
        <v>1.5340981644387872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345.45636360520137</v>
      </c>
      <c r="BJ187" s="59">
        <f t="shared" si="146"/>
        <v>469.30074822262549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0.63850358615174962</v>
      </c>
      <c r="BQ187" s="21">
        <f>EXP(-LN(2)/25)*BQ186+(1-EXP(-LN(2)/25))/(LN(2)/25)*Calculateur!BL187*Calculateur!BN187*VLOOKUP('Données projet'!$B$11,Paramètres!$A$1:$I$89,3,0)*0.475*44/12</f>
        <v>0.25789810447302702</v>
      </c>
      <c r="BR187" s="21">
        <f>EXP(-LN(2)/2)*BR186+(1-EXP(-LN(2)/2))/(LN(2)/2)*BL187*BO187*VLOOKUP('Données projet'!$B$11,Paramètres!$A$1:$I$89,3,0)*0.475*44/12</f>
        <v>5.0644983621114609E-23</v>
      </c>
      <c r="BS187" s="22">
        <f t="shared" si="169"/>
        <v>0.8964016906247767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-1.9065282685915009E-13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534.78683721545372</v>
      </c>
      <c r="T188" s="59">
        <f t="shared" si="142"/>
        <v>710.59298755711075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0.34978911424045306</v>
      </c>
      <c r="AA188" s="21">
        <f>EXP(-LN(2)/25)*AA187+(1-EXP(-LN(2)/25))/(LN(2)/25)*Calculateur!V188*Calculateur!X188*VLOOKUP('Données projet'!$B$9,Paramètres!$A$1:$I$89,3,0)*0.475*44/12</f>
        <v>0.2771642090491202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0.62695332328957321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-5.6843418860808015E-14</v>
      </c>
      <c r="AJ188" s="13">
        <f>AI188*VLOOKUP('Données projet'!$B$10,Paramètres!$A$1:$I$89,3,0)*VLOOKUP('Données projet'!$B$10,Paramètres!$A$1:$I$89,5,0)</f>
        <v>-3.1036506698001178E-14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207.02306964567629</v>
      </c>
      <c r="AO188" s="59">
        <f t="shared" si="144"/>
        <v>342.06887933351783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0.914551189816876</v>
      </c>
      <c r="AV188" s="21">
        <f>EXP(-LN(2)/25)*AV187+(1-EXP(-LN(2)/25))/(LN(2)/25)*Calculateur!AQ188*Calculateur!AS188*VLOOKUP('Données projet'!$B$10,Paramètres!$A$1:$I$89,3,0)*0.475*44/12</f>
        <v>0.5848131435826297</v>
      </c>
      <c r="AW188" s="21">
        <f>EXP(-LN(2)/2)*AW187+(1-EXP(-LN(2)/2))/(LN(2)/2)*AQ188*AT188*VLOOKUP('Données projet'!$B$10,Paramètres!$A$1:$I$89,3,0)*0.475*44/12</f>
        <v>5.239375458016833E-23</v>
      </c>
      <c r="AX188" s="21">
        <f t="shared" si="166"/>
        <v>1.4993643333995057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345.45636360520137</v>
      </c>
      <c r="BJ188" s="59">
        <f t="shared" si="146"/>
        <v>469.30074822262549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0.62598292027604652</v>
      </c>
      <c r="BQ188" s="21">
        <f>EXP(-LN(2)/25)*BQ187+(1-EXP(-LN(2)/25))/(LN(2)/25)*Calculateur!BL188*Calculateur!BN188*VLOOKUP('Données projet'!$B$11,Paramètres!$A$1:$I$89,3,0)*0.475*44/12</f>
        <v>0.2508458672439402</v>
      </c>
      <c r="BR188" s="21">
        <f>EXP(-LN(2)/2)*BR187+(1-EXP(-LN(2)/2))/(LN(2)/2)*BL188*BO188*VLOOKUP('Données projet'!$B$11,Paramètres!$A$1:$I$89,3,0)*0.475*44/12</f>
        <v>3.581141135157177E-23</v>
      </c>
      <c r="BS188" s="22">
        <f t="shared" si="169"/>
        <v>0.87682878751998672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-1.9065282685915009E-13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534.78683721545372</v>
      </c>
      <c r="T189" s="59">
        <f t="shared" si="142"/>
        <v>710.59298755711075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0.34292996306049089</v>
      </c>
      <c r="AA189" s="21">
        <f>EXP(-LN(2)/25)*AA188+(1-EXP(-LN(2)/25))/(LN(2)/25)*Calculateur!V189*Calculateur!X189*VLOOKUP('Données projet'!$B$9,Paramètres!$A$1:$I$89,3,0)*0.475*44/12</f>
        <v>0.2695851391772397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0.61251510223773065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-5.6843418860808015E-14</v>
      </c>
      <c r="AJ189" s="13">
        <f>AI189*VLOOKUP('Données projet'!$B$10,Paramètres!$A$1:$I$89,3,0)*VLOOKUP('Données projet'!$B$10,Paramètres!$A$1:$I$89,5,0)</f>
        <v>-3.1036506698001178E-14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207.02306964567629</v>
      </c>
      <c r="AO189" s="59">
        <f t="shared" si="144"/>
        <v>342.06887933351783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0.89661739880571256</v>
      </c>
      <c r="AV189" s="21">
        <f>EXP(-LN(2)/25)*AV188+(1-EXP(-LN(2)/25))/(LN(2)/25)*Calculateur!AQ189*Calculateur!AS189*VLOOKUP('Données projet'!$B$10,Paramètres!$A$1:$I$89,3,0)*0.475*44/12</f>
        <v>0.56882139741737603</v>
      </c>
      <c r="AW189" s="21">
        <f>EXP(-LN(2)/2)*AW188+(1-EXP(-LN(2)/2))/(LN(2)/2)*AQ189*AT189*VLOOKUP('Données projet'!$B$10,Paramètres!$A$1:$I$89,3,0)*0.475*44/12</f>
        <v>3.7047979155460765E-23</v>
      </c>
      <c r="AX189" s="21">
        <f t="shared" si="166"/>
        <v>1.4654387962230886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345.45636360520137</v>
      </c>
      <c r="BJ189" s="59">
        <f t="shared" si="146"/>
        <v>469.30074822262549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0.61370777702131385</v>
      </c>
      <c r="BQ189" s="21">
        <f>EXP(-LN(2)/25)*BQ188+(1-EXP(-LN(2)/25))/(LN(2)/25)*Calculateur!BL189*Calculateur!BN189*VLOOKUP('Données projet'!$B$11,Paramètres!$A$1:$I$89,3,0)*0.475*44/12</f>
        <v>0.24398647381274383</v>
      </c>
      <c r="BR189" s="21">
        <f>EXP(-LN(2)/2)*BR188+(1-EXP(-LN(2)/2))/(LN(2)/2)*BL189*BO189*VLOOKUP('Données projet'!$B$11,Paramètres!$A$1:$I$89,3,0)*0.475*44/12</f>
        <v>2.5322491810557304E-23</v>
      </c>
      <c r="BS189" s="22">
        <f t="shared" si="169"/>
        <v>0.8576942508340577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-1.9065282685915009E-13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534.78683721545372</v>
      </c>
      <c r="T190" s="59">
        <f t="shared" si="142"/>
        <v>710.59298755711075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0.33620531565149864</v>
      </c>
      <c r="AA190" s="21">
        <f>EXP(-LN(2)/25)*AA189+(1-EXP(-LN(2)/25))/(LN(2)/25)*Calculateur!V190*Calculateur!X190*VLOOKUP('Données projet'!$B$9,Paramètres!$A$1:$I$89,3,0)*0.475*44/12</f>
        <v>0.26221331936957176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0.5984186350210704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-5.6843418860808015E-14</v>
      </c>
      <c r="AJ190" s="13">
        <f>AI190*VLOOKUP('Données projet'!$B$10,Paramètres!$A$1:$I$89,3,0)*VLOOKUP('Données projet'!$B$10,Paramètres!$A$1:$I$89,5,0)</f>
        <v>-3.1036506698001178E-14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207.02306964567629</v>
      </c>
      <c r="AO190" s="59">
        <f t="shared" si="144"/>
        <v>342.06887933351783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0.87903527849774565</v>
      </c>
      <c r="AV190" s="21">
        <f>EXP(-LN(2)/25)*AV189+(1-EXP(-LN(2)/25))/(LN(2)/25)*Calculateur!AQ190*Calculateur!AS190*VLOOKUP('Données projet'!$B$10,Paramètres!$A$1:$I$89,3,0)*0.475*44/12</f>
        <v>0.5532669463919806</v>
      </c>
      <c r="AW190" s="21">
        <f>EXP(-LN(2)/2)*AW189+(1-EXP(-LN(2)/2))/(LN(2)/2)*AQ190*AT190*VLOOKUP('Données projet'!$B$10,Paramètres!$A$1:$I$89,3,0)*0.475*44/12</f>
        <v>2.6196877290084171E-23</v>
      </c>
      <c r="AX190" s="21">
        <f t="shared" si="166"/>
        <v>1.4323022248897264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345.45636360520137</v>
      </c>
      <c r="BJ190" s="59">
        <f t="shared" si="146"/>
        <v>469.30074822262549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0.60167334183870835</v>
      </c>
      <c r="BQ190" s="21">
        <f>EXP(-LN(2)/25)*BQ189+(1-EXP(-LN(2)/25))/(LN(2)/25)*Calculateur!BL190*Calculateur!BN190*VLOOKUP('Données projet'!$B$11,Paramètres!$A$1:$I$89,3,0)*0.475*44/12</f>
        <v>0.23731465085564332</v>
      </c>
      <c r="BR190" s="21">
        <f>EXP(-LN(2)/2)*BR189+(1-EXP(-LN(2)/2))/(LN(2)/2)*BL190*BO190*VLOOKUP('Données projet'!$B$11,Paramètres!$A$1:$I$89,3,0)*0.475*44/12</f>
        <v>1.7905705675785885E-23</v>
      </c>
      <c r="BS190" s="22">
        <f t="shared" si="169"/>
        <v>0.83898799269435165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-1.9065282685915009E-13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534.78683721545372</v>
      </c>
      <c r="T191" s="59">
        <f t="shared" si="142"/>
        <v>710.59298755711075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0.3296125344765668</v>
      </c>
      <c r="AA191" s="21">
        <f>EXP(-LN(2)/25)*AA190+(1-EXP(-LN(2)/25))/(LN(2)/25)*Calculateur!V191*Calculateur!X191*VLOOKUP('Données projet'!$B$9,Paramètres!$A$1:$I$89,3,0)*0.475*44/12</f>
        <v>0.25504308236221163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0.58465561683877842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-5.6843418860808015E-14</v>
      </c>
      <c r="AJ191" s="13">
        <f>AI191*VLOOKUP('Données projet'!$B$10,Paramètres!$A$1:$I$89,3,0)*VLOOKUP('Données projet'!$B$10,Paramètres!$A$1:$I$89,5,0)</f>
        <v>-3.1036506698001178E-14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207.02306964567629</v>
      </c>
      <c r="AO191" s="59">
        <f t="shared" si="144"/>
        <v>342.06887933351783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0.86179793284498352</v>
      </c>
      <c r="AV191" s="21">
        <f>EXP(-LN(2)/25)*AV190+(1-EXP(-LN(2)/25))/(LN(2)/25)*Calculateur!AQ191*Calculateur!AS191*VLOOKUP('Données projet'!$B$10,Paramètres!$A$1:$I$89,3,0)*0.475*44/12</f>
        <v>0.53813783264784765</v>
      </c>
      <c r="AW191" s="21">
        <f>EXP(-LN(2)/2)*AW190+(1-EXP(-LN(2)/2))/(LN(2)/2)*AQ191*AT191*VLOOKUP('Données projet'!$B$10,Paramètres!$A$1:$I$89,3,0)*0.475*44/12</f>
        <v>1.8523989577730386E-23</v>
      </c>
      <c r="AX191" s="21">
        <f t="shared" si="166"/>
        <v>1.3999357654928311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345.45636360520137</v>
      </c>
      <c r="BJ191" s="59">
        <f t="shared" si="146"/>
        <v>469.30074822262549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0.58987489458975306</v>
      </c>
      <c r="BQ191" s="21">
        <f>EXP(-LN(2)/25)*BQ190+(1-EXP(-LN(2)/25))/(LN(2)/25)*Calculateur!BL191*Calculateur!BN191*VLOOKUP('Données projet'!$B$11,Paramètres!$A$1:$I$89,3,0)*0.475*44/12</f>
        <v>0.23082526924816066</v>
      </c>
      <c r="BR191" s="21">
        <f>EXP(-LN(2)/2)*BR190+(1-EXP(-LN(2)/2))/(LN(2)/2)*BL191*BO191*VLOOKUP('Données projet'!$B$11,Paramètres!$A$1:$I$89,3,0)*0.475*44/12</f>
        <v>1.2661245905278652E-23</v>
      </c>
      <c r="BS191" s="22">
        <f t="shared" si="169"/>
        <v>0.82070016383791367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-1.9065282685915009E-13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534.78683721545372</v>
      </c>
      <c r="T192" s="59">
        <f t="shared" si="142"/>
        <v>710.59298755711075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0.32314903371927595</v>
      </c>
      <c r="AA192" s="21">
        <f>EXP(-LN(2)/25)*AA191+(1-EXP(-LN(2)/25))/(LN(2)/25)*Calculateur!V192*Calculateur!X192*VLOOKUP('Données projet'!$B$9,Paramètres!$A$1:$I$89,3,0)*0.475*44/12</f>
        <v>0.24806891586288415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0.5712179495821601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-5.6843418860808015E-14</v>
      </c>
      <c r="AJ192" s="13">
        <f>AI192*VLOOKUP('Données projet'!$B$10,Paramètres!$A$1:$I$89,3,0)*VLOOKUP('Données projet'!$B$10,Paramètres!$A$1:$I$89,5,0)</f>
        <v>-3.1036506698001178E-14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207.02306964567629</v>
      </c>
      <c r="AO192" s="59">
        <f t="shared" si="144"/>
        <v>342.06887933351783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0.84489860102672931</v>
      </c>
      <c r="AV192" s="21">
        <f>EXP(-LN(2)/25)*AV191+(1-EXP(-LN(2)/25))/(LN(2)/25)*Calculateur!AQ192*Calculateur!AS192*VLOOKUP('Données projet'!$B$10,Paramètres!$A$1:$I$89,3,0)*0.475*44/12</f>
        <v>0.52342242531465355</v>
      </c>
      <c r="AW192" s="21">
        <f>EXP(-LN(2)/2)*AW191+(1-EXP(-LN(2)/2))/(LN(2)/2)*AQ192*AT192*VLOOKUP('Données projet'!$B$10,Paramètres!$A$1:$I$89,3,0)*0.475*44/12</f>
        <v>1.3098438645042087E-23</v>
      </c>
      <c r="AX192" s="21">
        <f t="shared" si="166"/>
        <v>1.3683210263413828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345.45636360520137</v>
      </c>
      <c r="BJ192" s="59">
        <f t="shared" si="146"/>
        <v>469.30074822262549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0.57830780769500756</v>
      </c>
      <c r="BQ192" s="21">
        <f>EXP(-LN(2)/25)*BQ191+(1-EXP(-LN(2)/25))/(LN(2)/25)*Calculateur!BL192*Calculateur!BN192*VLOOKUP('Données projet'!$B$11,Paramètres!$A$1:$I$89,3,0)*0.475*44/12</f>
        <v>0.22451334012199636</v>
      </c>
      <c r="BR192" s="21">
        <f>EXP(-LN(2)/2)*BR191+(1-EXP(-LN(2)/2))/(LN(2)/2)*BL192*BO192*VLOOKUP('Données projet'!$B$11,Paramètres!$A$1:$I$89,3,0)*0.475*44/12</f>
        <v>8.9528528378929426E-24</v>
      </c>
      <c r="BS192" s="22">
        <f t="shared" si="169"/>
        <v>0.80282114781700398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-1.9065282685915009E-13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534.78683721545372</v>
      </c>
      <c r="T193" s="59">
        <f t="shared" si="142"/>
        <v>710.59298755711075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0.31681227826948938</v>
      </c>
      <c r="AA193" s="21">
        <f>EXP(-LN(2)/25)*AA192+(1-EXP(-LN(2)/25))/(LN(2)/25)*Calculateur!V193*Calculateur!X193*VLOOKUP('Données projet'!$B$9,Paramètres!$A$1:$I$89,3,0)*0.475*44/12</f>
        <v>0.24128545831323628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0.55809773658272566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-5.6843418860808015E-14</v>
      </c>
      <c r="AJ193" s="13">
        <f>AI193*VLOOKUP('Données projet'!$B$10,Paramètres!$A$1:$I$89,3,0)*VLOOKUP('Données projet'!$B$10,Paramètres!$A$1:$I$89,5,0)</f>
        <v>-3.1036506698001178E-14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207.02306964567629</v>
      </c>
      <c r="AO193" s="59">
        <f t="shared" si="144"/>
        <v>342.06887933351783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0.8283306547978565</v>
      </c>
      <c r="AV193" s="21">
        <f>EXP(-LN(2)/25)*AV192+(1-EXP(-LN(2)/25))/(LN(2)/25)*Calculateur!AQ193*Calculateur!AS193*VLOOKUP('Données projet'!$B$10,Paramètres!$A$1:$I$89,3,0)*0.475*44/12</f>
        <v>0.50910941156883527</v>
      </c>
      <c r="AW193" s="21">
        <f>EXP(-LN(2)/2)*AW192+(1-EXP(-LN(2)/2))/(LN(2)/2)*AQ193*AT193*VLOOKUP('Données projet'!$B$10,Paramètres!$A$1:$I$89,3,0)*0.475*44/12</f>
        <v>9.2619947888651942E-24</v>
      </c>
      <c r="AX193" s="21">
        <f t="shared" si="166"/>
        <v>1.3374400663666917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345.45636360520137</v>
      </c>
      <c r="BJ193" s="59">
        <f t="shared" si="146"/>
        <v>469.30074822262549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0.56696754431904162</v>
      </c>
      <c r="BQ193" s="21">
        <f>EXP(-LN(2)/25)*BQ192+(1-EXP(-LN(2)/25))/(LN(2)/25)*Calculateur!BL193*Calculateur!BN193*VLOOKUP('Données projet'!$B$11,Paramètres!$A$1:$I$89,3,0)*0.475*44/12</f>
        <v>0.21837401102971696</v>
      </c>
      <c r="BR193" s="21">
        <f>EXP(-LN(2)/2)*BR192+(1-EXP(-LN(2)/2))/(LN(2)/2)*BL193*BO193*VLOOKUP('Données projet'!$B$11,Paramètres!$A$1:$I$89,3,0)*0.475*44/12</f>
        <v>6.3306229526393261E-24</v>
      </c>
      <c r="BS193" s="22">
        <f t="shared" si="169"/>
        <v>0.7853415553487586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-1.9065282685915009E-13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534.78683721545372</v>
      </c>
      <c r="T194" s="59">
        <f t="shared" si="142"/>
        <v>710.59298755711075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0.31059978272903394</v>
      </c>
      <c r="AA194" s="21">
        <f>EXP(-LN(2)/25)*AA193+(1-EXP(-LN(2)/25))/(LN(2)/25)*Calculateur!V194*Calculateur!X194*VLOOKUP('Données projet'!$B$9,Paramètres!$A$1:$I$89,3,0)*0.475*44/12</f>
        <v>0.23468749476701004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0.545287277496044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-5.6843418860808015E-14</v>
      </c>
      <c r="AJ194" s="13">
        <f>AI194*VLOOKUP('Données projet'!$B$10,Paramètres!$A$1:$I$89,3,0)*VLOOKUP('Données projet'!$B$10,Paramètres!$A$1:$I$89,5,0)</f>
        <v>-3.1036506698001178E-14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207.02306964567629</v>
      </c>
      <c r="AO194" s="59">
        <f t="shared" si="144"/>
        <v>342.06887933351783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0.81208759588908241</v>
      </c>
      <c r="AV194" s="21">
        <f>EXP(-LN(2)/25)*AV193+(1-EXP(-LN(2)/25))/(LN(2)/25)*Calculateur!AQ194*Calculateur!AS194*VLOOKUP('Données projet'!$B$10,Paramètres!$A$1:$I$89,3,0)*0.475*44/12</f>
        <v>0.49518778793658508</v>
      </c>
      <c r="AW194" s="21">
        <f>EXP(-LN(2)/2)*AW193+(1-EXP(-LN(2)/2))/(LN(2)/2)*AQ194*AT194*VLOOKUP('Données projet'!$B$10,Paramètres!$A$1:$I$89,3,0)*0.475*44/12</f>
        <v>6.549219322521045E-24</v>
      </c>
      <c r="AX194" s="21">
        <f t="shared" si="166"/>
        <v>1.3072753838256674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345.45636360520137</v>
      </c>
      <c r="BJ194" s="59">
        <f t="shared" si="146"/>
        <v>469.30074822262549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0.55584965659100072</v>
      </c>
      <c r="BQ194" s="21">
        <f>EXP(-LN(2)/25)*BQ193+(1-EXP(-LN(2)/25))/(LN(2)/25)*Calculateur!BL194*Calculateur!BN194*VLOOKUP('Données projet'!$B$11,Paramètres!$A$1:$I$89,3,0)*0.475*44/12</f>
        <v>0.21240256221431922</v>
      </c>
      <c r="BR194" s="21">
        <f>EXP(-LN(2)/2)*BR193+(1-EXP(-LN(2)/2))/(LN(2)/2)*BL194*BO194*VLOOKUP('Données projet'!$B$11,Paramètres!$A$1:$I$89,3,0)*0.475*44/12</f>
        <v>4.4764264189464713E-24</v>
      </c>
      <c r="BS194" s="22">
        <f t="shared" si="169"/>
        <v>0.76825221880531991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-1.9065282685915009E-13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534.78683721545372</v>
      </c>
      <c r="T195" s="59">
        <f t="shared" si="142"/>
        <v>710.59298755711075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0.30450911043687867</v>
      </c>
      <c r="AA195" s="21">
        <f>EXP(-LN(2)/25)*AA194+(1-EXP(-LN(2)/25))/(LN(2)/25)*Calculateur!V195*Calculateur!X195*VLOOKUP('Données projet'!$B$9,Paramètres!$A$1:$I$89,3,0)*0.475*44/12</f>
        <v>0.22826995288092719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0.53277906331780589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-5.6843418860808015E-14</v>
      </c>
      <c r="AJ195" s="13">
        <f>AI195*VLOOKUP('Données projet'!$B$10,Paramètres!$A$1:$I$89,3,0)*VLOOKUP('Données projet'!$B$10,Paramètres!$A$1:$I$89,5,0)</f>
        <v>-3.1036506698001178E-14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207.02306964567629</v>
      </c>
      <c r="AO195" s="59">
        <f t="shared" si="144"/>
        <v>342.06887933351783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0.7961630534582218</v>
      </c>
      <c r="AV195" s="21">
        <f>EXP(-LN(2)/25)*AV194+(1-EXP(-LN(2)/25))/(LN(2)/25)*Calculateur!AQ195*Calculateur!AS195*VLOOKUP('Données projet'!$B$10,Paramètres!$A$1:$I$89,3,0)*0.475*44/12</f>
        <v>0.48164685183466516</v>
      </c>
      <c r="AW195" s="21">
        <f>EXP(-LN(2)/2)*AW194+(1-EXP(-LN(2)/2))/(LN(2)/2)*AQ195*AT195*VLOOKUP('Données projet'!$B$10,Paramètres!$A$1:$I$89,3,0)*0.475*44/12</f>
        <v>4.6309973944325979E-24</v>
      </c>
      <c r="AX195" s="21">
        <f t="shared" si="166"/>
        <v>1.2778099052928868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345.45636360520137</v>
      </c>
      <c r="BJ195" s="59">
        <f t="shared" si="146"/>
        <v>469.30074822262549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0.54494978386006476</v>
      </c>
      <c r="BQ195" s="21">
        <f>EXP(-LN(2)/25)*BQ194+(1-EXP(-LN(2)/25))/(LN(2)/25)*Calculateur!BL195*Calculateur!BN195*VLOOKUP('Données projet'!$B$11,Paramètres!$A$1:$I$89,3,0)*0.475*44/12</f>
        <v>0.20659440298080337</v>
      </c>
      <c r="BR195" s="21">
        <f>EXP(-LN(2)/2)*BR194+(1-EXP(-LN(2)/2))/(LN(2)/2)*BL195*BO195*VLOOKUP('Données projet'!$B$11,Paramètres!$A$1:$I$89,3,0)*0.475*44/12</f>
        <v>3.165311476319663E-24</v>
      </c>
      <c r="BS195" s="22">
        <f t="shared" si="169"/>
        <v>0.7515441868408681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-1.9065282685915009E-13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534.78683721545372</v>
      </c>
      <c r="T196" s="59">
        <f t="shared" si="142"/>
        <v>710.59298755711075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0.29853787251342934</v>
      </c>
      <c r="AA196" s="21">
        <f>EXP(-LN(2)/25)*AA195+(1-EXP(-LN(2)/25))/(LN(2)/25)*Calculateur!V196*Calculateur!X196*VLOOKUP('Données projet'!$B$9,Paramètres!$A$1:$I$89,3,0)*0.475*44/12</f>
        <v>0.22202789901520315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0.52056577152863248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-5.6843418860808015E-14</v>
      </c>
      <c r="AJ196" s="13">
        <f>AI196*VLOOKUP('Données projet'!$B$10,Paramètres!$A$1:$I$89,3,0)*VLOOKUP('Données projet'!$B$10,Paramètres!$A$1:$I$89,5,0)</f>
        <v>-3.1036506698001178E-14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207.02306964567629</v>
      </c>
      <c r="AO196" s="59">
        <f t="shared" si="144"/>
        <v>342.06887933351783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0.78055078159141855</v>
      </c>
      <c r="AV196" s="21">
        <f>EXP(-LN(2)/25)*AV195+(1-EXP(-LN(2)/25))/(LN(2)/25)*Calculateur!AQ196*Calculateur!AS196*VLOOKUP('Données projet'!$B$10,Paramètres!$A$1:$I$89,3,0)*0.475*44/12</f>
        <v>0.46847619334253909</v>
      </c>
      <c r="AW196" s="21">
        <f>EXP(-LN(2)/2)*AW195+(1-EXP(-LN(2)/2))/(LN(2)/2)*AQ196*AT196*VLOOKUP('Données projet'!$B$10,Paramètres!$A$1:$I$89,3,0)*0.475*44/12</f>
        <v>3.2746096612605229E-24</v>
      </c>
      <c r="AX196" s="21">
        <f t="shared" si="166"/>
        <v>1.2490269749339578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345.45636360520137</v>
      </c>
      <c r="BJ196" s="59">
        <f t="shared" si="146"/>
        <v>469.30074822262549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0.53426365098511663</v>
      </c>
      <c r="BQ196" s="21">
        <f>EXP(-LN(2)/25)*BQ195+(1-EXP(-LN(2)/25))/(LN(2)/25)*Calculateur!BL196*Calculateur!BN196*VLOOKUP('Données projet'!$B$11,Paramètres!$A$1:$I$89,3,0)*0.475*44/12</f>
        <v>0.20094506816696583</v>
      </c>
      <c r="BR196" s="21">
        <f>EXP(-LN(2)/2)*BR195+(1-EXP(-LN(2)/2))/(LN(2)/2)*BL196*BO196*VLOOKUP('Données projet'!$B$11,Paramètres!$A$1:$I$89,3,0)*0.475*44/12</f>
        <v>2.2382132094732357E-24</v>
      </c>
      <c r="BS196" s="22">
        <f t="shared" si="169"/>
        <v>0.73520871915208241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-1.9065282685915009E-13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534.78683721545372</v>
      </c>
      <c r="T197" s="59">
        <f t="shared" ref="T197:T203" si="204">$T$3</f>
        <v>710.59298755711075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0.29268372692356331</v>
      </c>
      <c r="AA197" s="21">
        <f>EXP(-LN(2)/25)*AA196+(1-EXP(-LN(2)/25))/(LN(2)/25)*Calculateur!V197*Calculateur!X197*VLOOKUP('Données projet'!$B$9,Paramètres!$A$1:$I$89,3,0)*0.475*44/12</f>
        <v>0.21595653444069265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0.508640261364256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-5.6843418860808015E-14</v>
      </c>
      <c r="AJ197" s="13">
        <f>AI197*VLOOKUP('Données projet'!$B$10,Paramètres!$A$1:$I$89,3,0)*VLOOKUP('Données projet'!$B$10,Paramètres!$A$1:$I$89,5,0)</f>
        <v>-3.1036506698001178E-14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207.02306964567629</v>
      </c>
      <c r="AO197" s="59">
        <f t="shared" ref="AO197:AO203" si="205">$AO$3</f>
        <v>342.06887933351783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0.76524465685337772</v>
      </c>
      <c r="AV197" s="21">
        <f>EXP(-LN(2)/25)*AV196+(1-EXP(-LN(2)/25))/(LN(2)/25)*Calculateur!AQ197*Calculateur!AS197*VLOOKUP('Données projet'!$B$10,Paramètres!$A$1:$I$89,3,0)*0.475*44/12</f>
        <v>0.45566568719949507</v>
      </c>
      <c r="AW197" s="21">
        <f>EXP(-LN(2)/2)*AW196+(1-EXP(-LN(2)/2))/(LN(2)/2)*AQ197*AT197*VLOOKUP('Données projet'!$B$10,Paramètres!$A$1:$I$89,3,0)*0.475*44/12</f>
        <v>2.3154986972162993E-24</v>
      </c>
      <c r="AX197" s="21">
        <f t="shared" si="166"/>
        <v>1.2209103440528728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345.45636360520137</v>
      </c>
      <c r="BJ197" s="59">
        <f t="shared" ref="BJ197:BJ203" si="206">$BJ$3</f>
        <v>469.30074822262549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0.52378706665794872</v>
      </c>
      <c r="BQ197" s="21">
        <f>EXP(-LN(2)/25)*BQ196+(1-EXP(-LN(2)/25))/(LN(2)/25)*Calculateur!BL197*Calculateur!BN197*VLOOKUP('Données projet'!$B$11,Paramètres!$A$1:$I$89,3,0)*0.475*44/12</f>
        <v>0.19545021471069829</v>
      </c>
      <c r="BR197" s="21">
        <f>EXP(-LN(2)/2)*BR196+(1-EXP(-LN(2)/2))/(LN(2)/2)*BL197*BO197*VLOOKUP('Données projet'!$B$11,Paramètres!$A$1:$I$89,3,0)*0.475*44/12</f>
        <v>1.5826557381598315E-24</v>
      </c>
      <c r="BS197" s="22">
        <f t="shared" si="169"/>
        <v>0.71923728136864695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-1.9065282685915009E-13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534.78683721545372</v>
      </c>
      <c r="T198" s="59">
        <f t="shared" si="204"/>
        <v>710.59298755711075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0.28694437755803831</v>
      </c>
      <c r="AA198" s="21">
        <f>EXP(-LN(2)/25)*AA197+(1-EXP(-LN(2)/25))/(LN(2)/25)*Calculateur!V198*Calculateur!X198*VLOOKUP('Données projet'!$B$9,Paramètres!$A$1:$I$89,3,0)*0.475*44/12</f>
        <v>0.21005119164975133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0.49699556920778964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-5.6843418860808015E-14</v>
      </c>
      <c r="AJ198" s="13">
        <f>AI198*VLOOKUP('Données projet'!$B$10,Paramètres!$A$1:$I$89,3,0)*VLOOKUP('Données projet'!$B$10,Paramètres!$A$1:$I$89,5,0)</f>
        <v>-3.1036506698001178E-14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207.02306964567629</v>
      </c>
      <c r="AO198" s="59">
        <f t="shared" si="205"/>
        <v>342.06887933351783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0.75023867588563564</v>
      </c>
      <c r="AV198" s="21">
        <f>EXP(-LN(2)/25)*AV197+(1-EXP(-LN(2)/25))/(LN(2)/25)*Calculateur!AQ198*Calculateur!AS198*VLOOKUP('Données projet'!$B$10,Paramètres!$A$1:$I$89,3,0)*0.475*44/12</f>
        <v>0.4432054850206078</v>
      </c>
      <c r="AW198" s="21">
        <f>EXP(-LN(2)/2)*AW197+(1-EXP(-LN(2)/2))/(LN(2)/2)*AQ198*AT198*VLOOKUP('Données projet'!$B$10,Paramètres!$A$1:$I$89,3,0)*0.475*44/12</f>
        <v>1.6373048306302618E-24</v>
      </c>
      <c r="AX198" s="21">
        <f t="shared" si="166"/>
        <v>1.1934441609062434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345.45636360520137</v>
      </c>
      <c r="BJ198" s="59">
        <f t="shared" si="206"/>
        <v>469.30074822262549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0.51351592175935112</v>
      </c>
      <c r="BQ198" s="21">
        <f>EXP(-LN(2)/25)*BQ197+(1-EXP(-LN(2)/25))/(LN(2)/25)*Calculateur!BL198*Calculateur!BN198*VLOOKUP('Données projet'!$B$11,Paramètres!$A$1:$I$89,3,0)*0.475*44/12</f>
        <v>0.19010561831115416</v>
      </c>
      <c r="BR198" s="21">
        <f>EXP(-LN(2)/2)*BR197+(1-EXP(-LN(2)/2))/(LN(2)/2)*BL198*BO198*VLOOKUP('Données projet'!$B$11,Paramètres!$A$1:$I$89,3,0)*0.475*44/12</f>
        <v>1.1191066047366178E-24</v>
      </c>
      <c r="BS198" s="22">
        <f t="shared" si="169"/>
        <v>0.70362154007050526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-1.9065282685915009E-13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534.78683721545372</v>
      </c>
      <c r="T199" s="59">
        <f t="shared" si="204"/>
        <v>710.59298755711075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0.2813175733329138</v>
      </c>
      <c r="AA199" s="21">
        <f>EXP(-LN(2)/25)*AA198+(1-EXP(-LN(2)/25))/(LN(2)/25)*Calculateur!V199*Calculateur!X199*VLOOKUP('Données projet'!$B$9,Paramètres!$A$1:$I$89,3,0)*0.475*44/12</f>
        <v>0.2043073307679768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0.4856249041008906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-5.6843418860808015E-14</v>
      </c>
      <c r="AJ199" s="13">
        <f>AI199*VLOOKUP('Données projet'!$B$10,Paramètres!$A$1:$I$89,3,0)*VLOOKUP('Données projet'!$B$10,Paramètres!$A$1:$I$89,5,0)</f>
        <v>-3.1036506698001178E-14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207.02306964567629</v>
      </c>
      <c r="AO199" s="59">
        <f t="shared" si="205"/>
        <v>342.06887933351783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0.73552695305192628</v>
      </c>
      <c r="AV199" s="21">
        <f>EXP(-LN(2)/25)*AV198+(1-EXP(-LN(2)/25))/(LN(2)/25)*Calculateur!AQ199*Calculateur!AS199*VLOOKUP('Données projet'!$B$10,Paramètres!$A$1:$I$89,3,0)*0.475*44/12</f>
        <v>0.43108600772555578</v>
      </c>
      <c r="AW199" s="21">
        <f>EXP(-LN(2)/2)*AW198+(1-EXP(-LN(2)/2))/(LN(2)/2)*AQ199*AT199*VLOOKUP('Données projet'!$B$10,Paramètres!$A$1:$I$89,3,0)*0.475*44/12</f>
        <v>1.1577493486081498E-24</v>
      </c>
      <c r="AX199" s="21">
        <f t="shared" si="166"/>
        <v>1.166612960777482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345.45636360520137</v>
      </c>
      <c r="BJ199" s="59">
        <f t="shared" si="206"/>
        <v>469.30074822262549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0.50344618774743521</v>
      </c>
      <c r="BQ199" s="21">
        <f>EXP(-LN(2)/25)*BQ198+(1-EXP(-LN(2)/25))/(LN(2)/25)*Calculateur!BL199*Calculateur!BN199*VLOOKUP('Données projet'!$B$11,Paramètres!$A$1:$I$89,3,0)*0.475*44/12</f>
        <v>0.18490717018121566</v>
      </c>
      <c r="BR199" s="21">
        <f>EXP(-LN(2)/2)*BR198+(1-EXP(-LN(2)/2))/(LN(2)/2)*BL199*BO199*VLOOKUP('Données projet'!$B$11,Paramètres!$A$1:$I$89,3,0)*0.475*44/12</f>
        <v>7.9132786907991576E-25</v>
      </c>
      <c r="BS199" s="22">
        <f t="shared" si="169"/>
        <v>0.68835335792865093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-1.9065282685915009E-13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534.78683721545372</v>
      </c>
      <c r="T200" s="59">
        <f t="shared" si="204"/>
        <v>710.59298755711075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0.27580110730663232</v>
      </c>
      <c r="AA200" s="21">
        <f>EXP(-LN(2)/25)*AA199+(1-EXP(-LN(2)/25))/(LN(2)/25)*Calculateur!V200*Calculateur!X200*VLOOKUP('Données projet'!$B$9,Paramètres!$A$1:$I$89,3,0)*0.475*44/12</f>
        <v>0.19872053606407089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0.47452164337070324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-5.6843418860808015E-14</v>
      </c>
      <c r="AJ200" s="13">
        <f>AI200*VLOOKUP('Données projet'!$B$10,Paramètres!$A$1:$I$89,3,0)*VLOOKUP('Données projet'!$B$10,Paramètres!$A$1:$I$89,5,0)</f>
        <v>-3.1036506698001178E-14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207.02306964567629</v>
      </c>
      <c r="AO200" s="59">
        <f t="shared" si="205"/>
        <v>342.06887933351783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0.72110371812972107</v>
      </c>
      <c r="AV200" s="21">
        <f>EXP(-LN(2)/25)*AV199+(1-EXP(-LN(2)/25))/(LN(2)/25)*Calculateur!AQ200*Calculateur!AS200*VLOOKUP('Données projet'!$B$10,Paramètres!$A$1:$I$89,3,0)*0.475*44/12</f>
        <v>0.41929793817447258</v>
      </c>
      <c r="AW200" s="21">
        <f>EXP(-LN(2)/2)*AW199+(1-EXP(-LN(2)/2))/(LN(2)/2)*AQ200*AT200*VLOOKUP('Données projet'!$B$10,Paramètres!$A$1:$I$89,3,0)*0.475*44/12</f>
        <v>8.1865241531513099E-25</v>
      </c>
      <c r="AX200" s="21">
        <f t="shared" si="166"/>
        <v>1.1404016563041937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345.45636360520137</v>
      </c>
      <c r="BJ200" s="59">
        <f t="shared" si="206"/>
        <v>469.30074822262549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0.49357391507756171</v>
      </c>
      <c r="BQ200" s="21">
        <f>EXP(-LN(2)/25)*BQ199+(1-EXP(-LN(2)/25))/(LN(2)/25)*Calculateur!BL200*Calculateur!BN200*VLOOKUP('Données projet'!$B$11,Paramètres!$A$1:$I$89,3,0)*0.475*44/12</f>
        <v>0.17985087388876486</v>
      </c>
      <c r="BR200" s="21">
        <f>EXP(-LN(2)/2)*BR199+(1-EXP(-LN(2)/2))/(LN(2)/2)*BL200*BO200*VLOOKUP('Données projet'!$B$11,Paramètres!$A$1:$I$89,3,0)*0.475*44/12</f>
        <v>5.5955330236830891E-25</v>
      </c>
      <c r="BS200" s="22">
        <f t="shared" si="169"/>
        <v>0.67342478896632652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-1.9065282685915009E-13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534.78683721545372</v>
      </c>
      <c r="T201" s="59">
        <f t="shared" si="204"/>
        <v>710.59298755711075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0.27039281581441416</v>
      </c>
      <c r="AA201" s="21">
        <f>EXP(-LN(2)/25)*AA200+(1-EXP(-LN(2)/25))/(LN(2)/25)*Calculateur!V201*Calculateur!X201*VLOOKUP('Données projet'!$B$9,Paramètres!$A$1:$I$89,3,0)*0.475*44/12</f>
        <v>0.19328651255514007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0.46367932836955422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-5.6843418860808015E-14</v>
      </c>
      <c r="AJ201" s="13">
        <f>AI201*VLOOKUP('Données projet'!$B$10,Paramètres!$A$1:$I$89,3,0)*VLOOKUP('Données projet'!$B$10,Paramètres!$A$1:$I$89,5,0)</f>
        <v>-3.1036506698001178E-14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207.02306964567629</v>
      </c>
      <c r="AO201" s="59">
        <f t="shared" si="205"/>
        <v>342.06887933351783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0.70696331404703572</v>
      </c>
      <c r="AV201" s="21">
        <f>EXP(-LN(2)/25)*AV200+(1-EXP(-LN(2)/25))/(LN(2)/25)*Calculateur!AQ201*Calculateur!AS201*VLOOKUP('Données projet'!$B$10,Paramètres!$A$1:$I$89,3,0)*0.475*44/12</f>
        <v>0.40783221400517139</v>
      </c>
      <c r="AW201" s="21">
        <f>EXP(-LN(2)/2)*AW200+(1-EXP(-LN(2)/2))/(LN(2)/2)*AQ201*AT201*VLOOKUP('Données projet'!$B$10,Paramètres!$A$1:$I$89,3,0)*0.475*44/12</f>
        <v>5.7887467430407501E-25</v>
      </c>
      <c r="AX201" s="21">
        <f t="shared" si="166"/>
        <v>1.1147955280522071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345.45636360520137</v>
      </c>
      <c r="BJ201" s="59">
        <f t="shared" si="206"/>
        <v>469.30074822262549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0.48389523165325266</v>
      </c>
      <c r="BQ201" s="21">
        <f>EXP(-LN(2)/25)*BQ200+(1-EXP(-LN(2)/25))/(LN(2)/25)*Calculateur!BL201*Calculateur!BN201*VLOOKUP('Données projet'!$B$11,Paramètres!$A$1:$I$89,3,0)*0.475*44/12</f>
        <v>0.17493284228433018</v>
      </c>
      <c r="BR201" s="21">
        <f>EXP(-LN(2)/2)*BR200+(1-EXP(-LN(2)/2))/(LN(2)/2)*BL201*BO201*VLOOKUP('Données projet'!$B$11,Paramètres!$A$1:$I$89,3,0)*0.475*44/12</f>
        <v>3.9566393453995788E-25</v>
      </c>
      <c r="BS201" s="22">
        <f t="shared" si="169"/>
        <v>0.6588280739375828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-1.9065282685915009E-13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534.78683721545372</v>
      </c>
      <c r="T202" s="59">
        <f t="shared" si="204"/>
        <v>710.59298755711075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0.26509057761962629</v>
      </c>
      <c r="AA202" s="21">
        <f>EXP(-LN(2)/25)*AA201+(1-EXP(-LN(2)/25))/(LN(2)/25)*Calculateur!V202*Calculateur!X202*VLOOKUP('Données projet'!$B$9,Paramètres!$A$1:$I$89,3,0)*0.475*44/12</f>
        <v>0.18800108270482382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0.45309166032445014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-5.6843418860808015E-14</v>
      </c>
      <c r="AJ202" s="13">
        <f>AI202*VLOOKUP('Données projet'!$B$10,Paramètres!$A$1:$I$89,3,0)*VLOOKUP('Données projet'!$B$10,Paramètres!$A$1:$I$89,5,0)</f>
        <v>-3.1036506698001178E-14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207.02306964567629</v>
      </c>
      <c r="AO202" s="59">
        <f t="shared" si="205"/>
        <v>342.06887933351783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0.69310019466361694</v>
      </c>
      <c r="AV202" s="21">
        <f>EXP(-LN(2)/25)*AV201+(1-EXP(-LN(2)/25))/(LN(2)/25)*Calculateur!AQ202*Calculateur!AS202*VLOOKUP('Données projet'!$B$10,Paramètres!$A$1:$I$89,3,0)*0.475*44/12</f>
        <v>0.39668002066623598</v>
      </c>
      <c r="AW202" s="21">
        <f>EXP(-LN(2)/2)*AW201+(1-EXP(-LN(2)/2))/(LN(2)/2)*AQ202*AT202*VLOOKUP('Données projet'!$B$10,Paramètres!$A$1:$I$89,3,0)*0.475*44/12</f>
        <v>4.0932620765756554E-25</v>
      </c>
      <c r="AX202" s="21">
        <f t="shared" si="166"/>
        <v>1.0897802153298528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345.45636360520137</v>
      </c>
      <c r="BJ202" s="59">
        <f t="shared" si="206"/>
        <v>469.30074822262549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0.47440634130748033</v>
      </c>
      <c r="BQ202" s="21">
        <f>EXP(-LN(2)/25)*BQ201+(1-EXP(-LN(2)/25))/(LN(2)/25)*Calculateur!BL202*Calculateur!BN202*VLOOKUP('Données projet'!$B$11,Paramètres!$A$1:$I$89,3,0)*0.475*44/12</f>
        <v>0.1701492945127468</v>
      </c>
      <c r="BR202" s="21">
        <f>EXP(-LN(2)/2)*BR201+(1-EXP(-LN(2)/2))/(LN(2)/2)*BL202*BO202*VLOOKUP('Données projet'!$B$11,Paramètres!$A$1:$I$89,3,0)*0.475*44/12</f>
        <v>2.7977665118415446E-25</v>
      </c>
      <c r="BS202" s="22">
        <f t="shared" si="169"/>
        <v>0.64455563582022712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-1.9065282685915009E-13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534.78683721545372</v>
      </c>
      <c r="T203" s="59">
        <f t="shared" si="204"/>
        <v>710.59298755711075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0.25989231308179228</v>
      </c>
      <c r="AA203" s="21">
        <f>EXP(-LN(2)/25)*AA202+(1-EXP(-LN(2)/25))/(LN(2)/25)*Calculateur!V203*Calculateur!X203*VLOOKUP('Données projet'!$B$9,Paramètres!$A$1:$I$89,3,0)*0.475*44/12</f>
        <v>0.18286018321171316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0.44275249629350544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-5.6843418860808015E-14</v>
      </c>
      <c r="AJ203" s="13">
        <f>AI203*VLOOKUP('Données projet'!$B$10,Paramètres!$A$1:$I$89,3,0)*VLOOKUP('Données projet'!$B$10,Paramètres!$A$1:$I$89,5,0)</f>
        <v>-3.1036506698001178E-14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207.02306964567629</v>
      </c>
      <c r="AO203" s="59">
        <f t="shared" si="205"/>
        <v>342.06887933351783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0.67950892259563911</v>
      </c>
      <c r="AV203" s="21">
        <f>EXP(-LN(2)/25)*AV202+(1-EXP(-LN(2)/25))/(LN(2)/25)*Calculateur!AQ203*Calculateur!AS203*VLOOKUP('Données projet'!$B$10,Paramètres!$A$1:$I$89,3,0)*0.475*44/12</f>
        <v>0.3858327846406221</v>
      </c>
      <c r="AW203" s="21">
        <f>EXP(-LN(2)/2)*AW202+(1-EXP(-LN(2)/2))/(LN(2)/2)*AQ203*AT203*VLOOKUP('Données projet'!$B$10,Paramètres!$A$1:$I$89,3,0)*0.475*44/12</f>
        <v>2.8943733715203755E-25</v>
      </c>
      <c r="AX203" s="21">
        <f t="shared" si="166"/>
        <v>1.0653417072362612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345.45636360520137</v>
      </c>
      <c r="BJ203" s="59">
        <f t="shared" si="206"/>
        <v>469.30074822262549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0.46510352231373697</v>
      </c>
      <c r="BQ203" s="21">
        <f>EXP(-LN(2)/25)*BQ202+(1-EXP(-LN(2)/25))/(LN(2)/25)*Calculateur!BL203*Calculateur!BN203*VLOOKUP('Données projet'!$B$11,Paramètres!$A$1:$I$89,3,0)*0.475*44/12</f>
        <v>0.16549655310653322</v>
      </c>
      <c r="BR203" s="21">
        <f>EXP(-LN(2)/2)*BR202+(1-EXP(-LN(2)/2))/(LN(2)/2)*BL203*BO203*VLOOKUP('Données projet'!$B$11,Paramètres!$A$1:$I$89,3,0)*0.475*44/12</f>
        <v>1.9783196726997894E-25</v>
      </c>
      <c r="BS203" s="22">
        <f t="shared" si="169"/>
        <v>0.63060007542027019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1.418286993802653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1.4860662319460807</v>
      </c>
      <c r="BA205" s="82">
        <f>EXP(LN('Données projet'!B88)/'Données projet'!A88)</f>
        <v>1.3179806292130023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7773437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77734375" style="4" bestFit="1" customWidth="1"/>
    <col min="7" max="7" width="11.44140625" style="4" bestFit="1" customWidth="1"/>
    <col min="8" max="8" width="39" style="4" bestFit="1" customWidth="1"/>
    <col min="9" max="9" width="16.7773437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I8" sqref="I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3.8759999999999999</v>
      </c>
      <c r="C6" s="147">
        <f ca="1">IF(OR('Données projet'!B9="",'Données projet'!C9="",'Données projet'!C9=0%),0,Calculateur!S3)</f>
        <v>534.78683721545372</v>
      </c>
      <c r="D6" s="147">
        <f>IF(OR('Données projet'!B9="",'Données projet'!C9="",'Données projet'!C9=0%),0,Calculateur!T3)</f>
        <v>710.59298755711075</v>
      </c>
      <c r="E6" s="147">
        <f ca="1">MIN(C6,D6)</f>
        <v>534.78683721545372</v>
      </c>
      <c r="F6" s="147">
        <f ca="1">E6*B6</f>
        <v>2072.8337810470985</v>
      </c>
      <c r="G6" s="147">
        <f ca="1">F6*(100%-'Données projet'!$C$24)*(100%-'Données projet'!$C$25)*(100%-'Données projet'!$C$26)*(100%-'Données projet'!$C$27)</f>
        <v>1865.5504029423887</v>
      </c>
      <c r="H6" s="148">
        <f>IF(OR('Données projet'!B9="",'Données projet'!C9="",'Données projet'!C9=0%),0,AVERAGE(Calculateur!$AC$3:$AC$33)*B6)</f>
        <v>12.640700606594878</v>
      </c>
      <c r="I6" s="149">
        <f>H6*(100%-'Données projet'!$C$24)*(100%-'Données projet'!$C$25)*(100%-'Données projet'!$C$26)*(100%-'Données projet'!$C$27)</f>
        <v>11.37663054593539</v>
      </c>
      <c r="J6" s="150">
        <f>IF(OR('Données projet'!B9="",'Données projet'!C9="",'Données projet'!C9=0%),0,SUM(Calculateur!$V$3:$V$33)*VLOOKUP('Données projet'!$B$9,Paramètres!$A$1:$I$89,9,0)*B6)</f>
        <v>206.66831999999999</v>
      </c>
      <c r="K6" s="151">
        <f>J6*(100%-'Données projet'!$C$24)*(100%-'Données projet'!$C$25)*(100%-'Données projet'!$C$26)*(100%-'Données projet'!$C$27)</f>
        <v>186.00148799999999</v>
      </c>
      <c r="L6" s="152">
        <f ca="1">G6+I6+K6</f>
        <v>2062.9285214883239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Mélèze hybride</v>
      </c>
      <c r="B7" s="154">
        <f>'Données projet'!D10</f>
        <v>0.7649999999999999</v>
      </c>
      <c r="C7" s="147">
        <f ca="1">IF(OR('Données projet'!B10="",'Données projet'!C10="",'Données projet'!C10=0%),0,Calculateur!AN3)</f>
        <v>207.02306964567629</v>
      </c>
      <c r="D7" s="147">
        <f>IF(OR('Données projet'!B10="",'Données projet'!C10="",'Données projet'!C10=0%),0,Calculateur!AO3)</f>
        <v>342.06887933351783</v>
      </c>
      <c r="E7" s="147">
        <f t="shared" ref="E7:E15" ca="1" si="0">MIN(C7,D7)</f>
        <v>207.02306964567629</v>
      </c>
      <c r="F7" s="147">
        <f t="shared" ref="F7:F15" ca="1" si="1">E7*B7</f>
        <v>158.37264827894234</v>
      </c>
      <c r="G7" s="147">
        <f ca="1">F7*(100%-'Données projet'!$C$24)*(100%-'Données projet'!$C$25)*(100%-'Données projet'!$C$26)*(100%-'Données projet'!$C$27)</f>
        <v>142.53538345104812</v>
      </c>
      <c r="H7" s="155">
        <f>IF(OR('Données projet'!B10="",'Données projet'!C10="",'Données projet'!C10=0%),0,AVERAGE(Calculateur!$AX$3:$AX$33)*B7)</f>
        <v>15.92487426698634</v>
      </c>
      <c r="I7" s="149">
        <f>H7*(100%-'Données projet'!$C$24)*(100%-'Données projet'!$C$25)*(100%-'Données projet'!$C$26)*(100%-'Données projet'!$C$27)</f>
        <v>14.332386840287706</v>
      </c>
      <c r="J7" s="150">
        <f>IF(OR('Données projet'!B10="",'Données projet'!C10="",'Données projet'!C10=0%),0,SUM(Calculateur!$AQ$3:$AQ$33)*VLOOKUP('Données projet'!$B$10,Paramètres!$A$1:$I$89,9,0)*B7)</f>
        <v>95.066549999999978</v>
      </c>
      <c r="K7" s="151">
        <f>J7*(100%-'Données projet'!$C$24)*(100%-'Données projet'!$C$25)*(100%-'Données projet'!$C$26)*(100%-'Données projet'!$C$27)</f>
        <v>85.559894999999983</v>
      </c>
      <c r="L7" s="152">
        <f t="shared" ref="L7:L15" ca="1" si="2">G7+I7+K7</f>
        <v>242.42766529133581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Epicéa de Sitka</v>
      </c>
      <c r="B8" s="154">
        <f>'Données projet'!D11</f>
        <v>0.45899999999999996</v>
      </c>
      <c r="C8" s="147">
        <f ca="1">IF(OR('Données projet'!B11="",'Données projet'!C11="",'Données projet'!C11=0%),0,Calculateur!BI3)</f>
        <v>345.45636360520137</v>
      </c>
      <c r="D8" s="147">
        <f>IF(OR('Données projet'!B11="",'Données projet'!C11="",'Données projet'!C11=0%),0,Calculateur!BJ3)</f>
        <v>469.30074822262549</v>
      </c>
      <c r="E8" s="147">
        <f t="shared" ca="1" si="0"/>
        <v>345.45636360520137</v>
      </c>
      <c r="F8" s="147">
        <f t="shared" ca="1" si="1"/>
        <v>158.56447089478741</v>
      </c>
      <c r="G8" s="147">
        <f ca="1">F8*(100%-'Données projet'!$C$24)*(100%-'Données projet'!$C$25)*(100%-'Données projet'!$C$26)*(100%-'Données projet'!$C$27)</f>
        <v>142.70802380530867</v>
      </c>
      <c r="H8" s="155">
        <f>IF(OR('Données projet'!B11="",'Données projet'!C11="",'Données projet'!C11=0%),0,AVERAGE(Calculateur!$BS$3:$BS$33)*B8)</f>
        <v>3.9894344791329868</v>
      </c>
      <c r="I8" s="149">
        <f>H8*(100%-'Données projet'!$C$24)*(100%-'Données projet'!$C$25)*(100%-'Données projet'!$C$26)*(100%-'Données projet'!$C$27)</f>
        <v>3.5904910312196883</v>
      </c>
      <c r="J8" s="150">
        <f>IF(OR('Données projet'!B11="",'Données projet'!C11="",'Données projet'!C11=0%),0,SUM(Calculateur!$BL$3:$BL$33)*VLOOKUP('Données projet'!$B$11,Paramètres!$A$1:$I$89,9,0)*B8)</f>
        <v>44.013509999999997</v>
      </c>
      <c r="K8" s="151">
        <f>J8*(100%-'Données projet'!$C$24)*(100%-'Données projet'!$C$25)*(100%-'Données projet'!$C$26)*(100%-'Données projet'!$C$27)</f>
        <v>39.612158999999998</v>
      </c>
      <c r="L8" s="152">
        <f t="shared" ca="1" si="2"/>
        <v>185.91067383652836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2389.7709002208285</v>
      </c>
      <c r="G16" s="166">
        <f t="shared" ca="1" si="3"/>
        <v>2150.7938101987456</v>
      </c>
      <c r="H16" s="167">
        <f t="shared" si="3"/>
        <v>32.555009352714208</v>
      </c>
      <c r="I16" s="167">
        <f t="shared" si="3"/>
        <v>29.299508417442784</v>
      </c>
      <c r="J16" s="168">
        <f t="shared" si="3"/>
        <v>345.74838</v>
      </c>
      <c r="K16" s="168">
        <f t="shared" si="3"/>
        <v>311.173542</v>
      </c>
      <c r="L16" s="169">
        <f t="shared" ca="1" si="3"/>
        <v>2491.2668606161883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Epicéa de Sitka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90" zoomScaleNormal="90" workbookViewId="0">
      <selection activeCell="C92" sqref="C92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1" customWidth="1"/>
    <col min="7" max="7" width="17.5546875" style="1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3201.1127679459601</v>
      </c>
      <c r="U10" s="178">
        <f>'Données projet'!D9</f>
        <v>3.8759999999999999</v>
      </c>
      <c r="V10" s="177">
        <f>U10*T10</f>
        <v>12407.51308855854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hybride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1350.2463098234025</v>
      </c>
      <c r="U11" s="178">
        <f>'Données projet'!D10</f>
        <v>0.7649999999999999</v>
      </c>
      <c r="V11" s="177">
        <f t="shared" ref="V11" si="0">U11*T11</f>
        <v>1032.9384270149028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Epicéa de Sitka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3701.6135130629973</v>
      </c>
      <c r="U12" s="178">
        <f>'Données projet'!D11</f>
        <v>0.45899999999999996</v>
      </c>
      <c r="V12" s="177">
        <f t="shared" ref="V12:V19" si="1">U12*T12</f>
        <v>1699.0406024959157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(0.55+0.45)*1300</f>
        <v>1300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1.1*1300+0.2*1300</f>
        <v>1690.0000000000002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0</v>
      </c>
      <c r="C23" s="193">
        <v>0</v>
      </c>
      <c r="D23" s="182">
        <f>B23*C23</f>
        <v>0</v>
      </c>
      <c r="E23" s="193"/>
      <c r="F23" s="230"/>
      <c r="H23" s="190">
        <v>4</v>
      </c>
      <c r="I23" s="191">
        <v>800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-2460.197581005521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11</v>
      </c>
      <c r="C24" s="193">
        <v>1.3</v>
      </c>
      <c r="D24" s="182">
        <f t="shared" ref="D24:D42" si="2">B24*C24</f>
        <v>14.3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5029.5051873092243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25</v>
      </c>
      <c r="B25" s="181">
        <f>'Données projet'!D38</f>
        <v>46</v>
      </c>
      <c r="C25" s="193">
        <v>1.3</v>
      </c>
      <c r="D25" s="182">
        <f t="shared" si="2"/>
        <v>59.800000000000004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50</v>
      </c>
      <c r="Q25" s="234"/>
      <c r="R25" s="23"/>
      <c r="S25" s="186" t="s">
        <v>266</v>
      </c>
      <c r="T25" s="299">
        <f ca="1">T23-T24</f>
        <v>-7489.7027683147453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67</v>
      </c>
      <c r="C26" s="193">
        <v>2.2799999999999998</v>
      </c>
      <c r="D26" s="182">
        <f t="shared" si="2"/>
        <v>152.76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35</v>
      </c>
      <c r="B27" s="181">
        <f>'Données projet'!D40</f>
        <v>72</v>
      </c>
      <c r="C27" s="193">
        <v>10</v>
      </c>
      <c r="D27" s="182">
        <f t="shared" si="2"/>
        <v>720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79</v>
      </c>
      <c r="C28" s="193">
        <v>20</v>
      </c>
      <c r="D28" s="182">
        <f t="shared" si="2"/>
        <v>1580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45</v>
      </c>
      <c r="B29" s="181">
        <f>'Données projet'!D42</f>
        <v>82</v>
      </c>
      <c r="C29" s="193">
        <v>30</v>
      </c>
      <c r="D29" s="182">
        <f t="shared" si="2"/>
        <v>2460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50</v>
      </c>
      <c r="B30" s="181">
        <f>'Données projet'!D43</f>
        <v>75</v>
      </c>
      <c r="C30" s="193">
        <v>40.5</v>
      </c>
      <c r="D30" s="182">
        <f t="shared" si="2"/>
        <v>3037.5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986.17748770769117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55</v>
      </c>
      <c r="B31" s="181">
        <f>'Données projet'!D44</f>
        <v>66</v>
      </c>
      <c r="C31" s="193">
        <v>41</v>
      </c>
      <c r="D31" s="182">
        <f t="shared" si="2"/>
        <v>2706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60</v>
      </c>
      <c r="B32" s="181">
        <f>'Données projet'!D45</f>
        <v>723</v>
      </c>
      <c r="C32" s="193">
        <v>60</v>
      </c>
      <c r="D32" s="182">
        <f t="shared" si="2"/>
        <v>43380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47.846889952153113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45.786497561869012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43.814830202745469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41.928067179660744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40.122552325034206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38.394786913908341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36.741422884122812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35.159256348442895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33.645221386069757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32.196384101502161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30.809936939236522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Mélèze hybride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29.483193243288543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28.213582050993818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26.998643110998877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(0.95+0.45)*1300</f>
        <v>1819.9999999999998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25.836022115788396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24.723466139510439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23.658819272258793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22.640018442352915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21.665089418519536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20.732142984229228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12</v>
      </c>
      <c r="B54" s="181">
        <f>'Données projet'!D62</f>
        <v>21</v>
      </c>
      <c r="C54" s="191">
        <v>0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19.839371276774379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15</v>
      </c>
      <c r="B55" s="181">
        <f>'Données projet'!D63</f>
        <v>47</v>
      </c>
      <c r="C55" s="191">
        <v>0</v>
      </c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18.985044283994625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18</v>
      </c>
      <c r="B56" s="181">
        <f>'Données projet'!D64</f>
        <v>61</v>
      </c>
      <c r="C56" s="191">
        <v>10</v>
      </c>
      <c r="D56" s="179">
        <f t="shared" si="4"/>
        <v>610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18.167506491860888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24</v>
      </c>
      <c r="B57" s="181">
        <f>'Données projet'!D65</f>
        <v>84</v>
      </c>
      <c r="C57" s="191">
        <v>10</v>
      </c>
      <c r="D57" s="179">
        <f t="shared" si="4"/>
        <v>840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17.385173676421903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30</v>
      </c>
      <c r="B58" s="181">
        <f>'Données projet'!D66</f>
        <v>76</v>
      </c>
      <c r="C58" s="191">
        <v>30</v>
      </c>
      <c r="D58" s="179">
        <f t="shared" si="4"/>
        <v>2280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16.63652983389656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36</v>
      </c>
      <c r="B59" s="181">
        <f>'Données projet'!D67</f>
        <v>75</v>
      </c>
      <c r="C59" s="191">
        <v>30</v>
      </c>
      <c r="D59" s="179">
        <f>B59*C59</f>
        <v>2250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15.920124242963219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42</v>
      </c>
      <c r="B60" s="181">
        <f>'Données projet'!D68</f>
        <v>278</v>
      </c>
      <c r="C60" s="191">
        <v>35</v>
      </c>
      <c r="D60" s="179">
        <f>B60*C60</f>
        <v>9730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15.234568653553319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14.578534596701745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13.950750810240901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13.35000077535015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12.775120359186744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12.224995559030384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11.698560343569747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11.194794587148085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10.712722092964674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10.251408701401605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9.8099604798101474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9.3875219902489473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8.9832746318171743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8.5964350543705041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8.2262536405459379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7.8720130531540082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Epicéa de Sitka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str">
        <f>IF(O75+1&lt;=MIN('Données projet'!$E$9:$E$18),O75+1,"STOP")</f>
        <v>STOP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(0.68+0.45)*1300</f>
        <v>1469.0000000000002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18</v>
      </c>
      <c r="B85" s="181">
        <f>'Données projet'!D88</f>
        <v>48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21</v>
      </c>
      <c r="B86" s="181">
        <f>'Données projet'!D89</f>
        <v>45</v>
      </c>
      <c r="C86" s="191">
        <v>0</v>
      </c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24</v>
      </c>
      <c r="B87" s="181">
        <f>'Données projet'!D90</f>
        <v>50</v>
      </c>
      <c r="C87" s="191">
        <v>10</v>
      </c>
      <c r="D87" s="179">
        <f t="shared" si="6"/>
        <v>500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28</v>
      </c>
      <c r="B88" s="181">
        <f>'Données projet'!D91</f>
        <v>80</v>
      </c>
      <c r="C88" s="191">
        <v>20</v>
      </c>
      <c r="D88" s="179">
        <f t="shared" si="6"/>
        <v>1600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32</v>
      </c>
      <c r="B89" s="181">
        <f>'Données projet'!D92</f>
        <v>56</v>
      </c>
      <c r="C89" s="191">
        <v>20</v>
      </c>
      <c r="D89" s="179">
        <f t="shared" si="6"/>
        <v>1120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36</v>
      </c>
      <c r="B90" s="181">
        <f>'Données projet'!D93</f>
        <v>78</v>
      </c>
      <c r="C90" s="191">
        <v>20</v>
      </c>
      <c r="D90" s="179">
        <f t="shared" si="6"/>
        <v>1560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42</v>
      </c>
      <c r="B91" s="181">
        <f>'Données projet'!D94</f>
        <v>79</v>
      </c>
      <c r="C91" s="191">
        <v>20</v>
      </c>
      <c r="D91" s="179">
        <f t="shared" si="6"/>
        <v>1580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47</v>
      </c>
      <c r="B92" s="181">
        <f>'Données projet'!D95</f>
        <v>834</v>
      </c>
      <c r="C92" s="191">
        <v>35</v>
      </c>
      <c r="D92" s="179">
        <f t="shared" si="6"/>
        <v>29190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/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/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/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adele baldenweck</cp:lastModifiedBy>
  <dcterms:created xsi:type="dcterms:W3CDTF">2021-02-01T08:22:39Z</dcterms:created>
  <dcterms:modified xsi:type="dcterms:W3CDTF">2022-11-04T10:36:07Z</dcterms:modified>
</cp:coreProperties>
</file>