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FDI_FICHIERS\Zensolutions$\doc\24\088\Z009BL8N\"/>
    </mc:Choice>
  </mc:AlternateContent>
  <xr:revisionPtr revIDLastSave="0" documentId="13_ncr:1_{25EF1D09-8CDA-4414-B2B8-049B2E6DD0D7}" xr6:coauthVersionLast="47" xr6:coauthVersionMax="47" xr10:uidLastSave="{00000000-0000-0000-0000-000000000000}"/>
  <bookViews>
    <workbookView xWindow="-120" yWindow="-120" windowWidth="20790" windowHeight="999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0" i="6" l="1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GL4" i="2"/>
  <c r="FR4" i="2"/>
  <c r="BR4" i="2"/>
  <c r="EC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A7" i="2"/>
  <c r="EB7" i="2"/>
  <c r="HI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A18" i="2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EV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HH22" i="2"/>
  <c r="HG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A33" i="2"/>
  <c r="EB33" i="2"/>
  <c r="HG33" i="2"/>
  <c r="EV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X38" i="2"/>
  <c r="EA38" i="2"/>
  <c r="HI38" i="2"/>
  <c r="FS38" i="2"/>
  <c r="EW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EW44" i="2"/>
  <c r="EC44" i="2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HI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W60" i="2"/>
  <c r="HI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V78" i="2"/>
  <c r="EC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EC85" i="2"/>
  <c r="HH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G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B113" i="2"/>
  <c r="HG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FS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HI130" i="2"/>
  <c r="EW130" i="2"/>
  <c r="EX130" i="2"/>
  <c r="EB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A139" i="2"/>
  <c r="HH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HH141" i="2"/>
  <c r="EA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X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FR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FR146" i="2"/>
  <c r="EA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C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HG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Y154" i="2"/>
  <c r="ED154" i="2"/>
  <c r="DI154" i="2"/>
  <c r="AC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EY155" i="2"/>
  <c r="EX156" i="2"/>
  <c r="ED155" i="2"/>
  <c r="EB156" i="2"/>
  <c r="DH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C158" i="2"/>
  <c r="ED157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HG160" i="2"/>
  <c r="HH160" i="2"/>
  <c r="EC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X161" i="2"/>
  <c r="ED160" i="2"/>
  <c r="EA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ED161" i="2"/>
  <c r="EY161" i="2"/>
  <c r="EW162" i="2"/>
  <c r="DI161" i="2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EA163" i="2"/>
  <c r="EV163" i="2"/>
  <c r="HG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ED163" i="2"/>
  <c r="DI163" i="2"/>
  <c r="DH164" i="2"/>
  <c r="EV164" i="2"/>
  <c r="EA164" i="2"/>
  <c r="EX164" i="2"/>
  <c r="FS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A167" i="2"/>
  <c r="DG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C168" i="2"/>
  <c r="EB168" i="2"/>
  <c r="HI168" i="2"/>
  <c r="EV168" i="2"/>
  <c r="EW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Y168" i="2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HG172" i="2"/>
  <c r="EV172" i="2"/>
  <c r="EA172" i="2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D174" i="2"/>
  <c r="EA175" i="2"/>
  <c r="EW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EW178" i="2"/>
  <c r="HG178" i="2"/>
  <c r="EB178" i="2"/>
  <c r="EA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I179" i="2"/>
  <c r="EV179" i="2"/>
  <c r="DF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B185" i="2"/>
  <c r="ED184" i="2"/>
  <c r="EA185" i="2"/>
  <c r="HH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B186" i="2"/>
  <c r="ED185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ED187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W190" i="2"/>
  <c r="EY189" i="2"/>
  <c r="ED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D190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W192" i="2"/>
  <c r="EA192" i="2"/>
  <c r="HH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ED192" i="2"/>
  <c r="DI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A194" i="2"/>
  <c r="ED193" i="2"/>
  <c r="EB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EB195" i="2"/>
  <c r="ED194" i="2"/>
  <c r="DH195" i="2"/>
  <c r="EY194" i="2"/>
  <c r="AA195" i="2"/>
  <c r="EA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EC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D197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EA199" i="2"/>
  <c r="HH199" i="2"/>
  <c r="EV199" i="2"/>
  <c r="FS199" i="2"/>
  <c r="EW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A201" i="2"/>
  <c r="EB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Y201" i="2"/>
  <c r="EX202" i="2"/>
  <c r="EW202" i="2"/>
  <c r="ED201" i="2"/>
  <c r="HH202" i="2"/>
  <c r="HG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" i="2" a="1"/>
  <c r="DN16" i="2" s="1"/>
  <c r="DN6" i="2" a="1"/>
  <c r="DN6" i="2" s="1"/>
  <c r="DO6" i="2" s="1"/>
  <c r="DN45" i="2" a="1"/>
  <c r="DN45" i="2" s="1"/>
  <c r="CS72" i="2" a="1"/>
  <c r="CS72" i="2" s="1"/>
  <c r="BX107" i="2" a="1"/>
  <c r="BX107" i="2" s="1"/>
  <c r="FD82" i="2" a="1"/>
  <c r="FD82" i="2" s="1"/>
  <c r="HJ202" i="2"/>
  <c r="AX200" i="2"/>
  <c r="AH90" i="2" l="1" a="1"/>
  <c r="AH90" i="2" s="1"/>
  <c r="AH151" i="2" a="1"/>
  <c r="AH151" i="2" s="1"/>
  <c r="AH19" i="2" a="1"/>
  <c r="AH19" i="2" s="1"/>
  <c r="CS185" i="2" a="1"/>
  <c r="CS185" i="2" s="1"/>
  <c r="CS120" i="2" a="1"/>
  <c r="CS120" i="2" s="1"/>
  <c r="CS134" i="2" a="1"/>
  <c r="CS134" i="2" s="1"/>
  <c r="CS24" i="2" a="1"/>
  <c r="CS24" i="2" s="1"/>
  <c r="CS38" i="2" a="1"/>
  <c r="CS38" i="2" s="1"/>
  <c r="CS56" i="2" a="1"/>
  <c r="CS56" i="2" s="1"/>
  <c r="AH166" i="2" a="1"/>
  <c r="AH166" i="2" s="1"/>
  <c r="DN56" i="2" a="1"/>
  <c r="DN56" i="2" s="1"/>
  <c r="DN80" i="2" a="1"/>
  <c r="DN80" i="2" s="1"/>
  <c r="DN155" i="2" a="1"/>
  <c r="DN155" i="2" s="1"/>
  <c r="DN190" i="2" a="1"/>
  <c r="DN190" i="2" s="1"/>
  <c r="CS52" i="2" a="1"/>
  <c r="CS52" i="2" s="1"/>
  <c r="CS114" i="2" a="1"/>
  <c r="CS114" i="2" s="1"/>
  <c r="CS137" i="2" a="1"/>
  <c r="CS137" i="2" s="1"/>
  <c r="CS105" i="2" a="1"/>
  <c r="CS105" i="2" s="1"/>
  <c r="CS116" i="2" a="1"/>
  <c r="CS116" i="2" s="1"/>
  <c r="CS161" i="2" a="1"/>
  <c r="CS161" i="2" s="1"/>
  <c r="CS129" i="2" a="1"/>
  <c r="CS129" i="2" s="1"/>
  <c r="BP203" i="2"/>
  <c r="AH62" i="2" a="1"/>
  <c r="AH62" i="2" s="1"/>
  <c r="AH163" i="2" a="1"/>
  <c r="AH163" i="2" s="1"/>
  <c r="AH199" i="2" a="1"/>
  <c r="AH199" i="2" s="1"/>
  <c r="AH92" i="2" a="1"/>
  <c r="AH92" i="2" s="1"/>
  <c r="DN29" i="2" a="1"/>
  <c r="DN29" i="2" s="1"/>
  <c r="DN153" i="2" a="1"/>
  <c r="DN153" i="2" s="1"/>
  <c r="DN133" i="2" a="1"/>
  <c r="DN133" i="2" s="1"/>
  <c r="DN30" i="2" a="1"/>
  <c r="DN30" i="2" s="1"/>
  <c r="DN46" i="2" a="1"/>
  <c r="DN46" i="2" s="1"/>
  <c r="DN110" i="2" a="1"/>
  <c r="DN110" i="2" s="1"/>
  <c r="DN38" i="2" a="1"/>
  <c r="DN38" i="2" s="1"/>
  <c r="DN86" i="2" a="1"/>
  <c r="DN86" i="2" s="1"/>
  <c r="DN25" i="2" a="1"/>
  <c r="DN25" i="2" s="1"/>
  <c r="DN31" i="2" a="1"/>
  <c r="DN31" i="2" s="1"/>
  <c r="DN123" i="2" a="1"/>
  <c r="DN123" i="2" s="1"/>
  <c r="DN177" i="2" a="1"/>
  <c r="DN177" i="2" s="1"/>
  <c r="DN184" i="2" a="1"/>
  <c r="DN184" i="2" s="1"/>
  <c r="DN176" i="2" a="1"/>
  <c r="DN176" i="2" s="1"/>
  <c r="DN167" i="2" a="1"/>
  <c r="DN167" i="2" s="1"/>
  <c r="DN115" i="2" a="1"/>
  <c r="DN115" i="2" s="1"/>
  <c r="DN152" i="2" a="1"/>
  <c r="DN152" i="2" s="1"/>
  <c r="DN124" i="2" a="1"/>
  <c r="DN124" i="2" s="1"/>
  <c r="DN162" i="2" a="1"/>
  <c r="DN162" i="2" s="1"/>
  <c r="DN41" i="2" a="1"/>
  <c r="DN41" i="2" s="1"/>
  <c r="DN49" i="2" a="1"/>
  <c r="DN49" i="2" s="1"/>
  <c r="DN168" i="2" a="1"/>
  <c r="DN168" i="2" s="1"/>
  <c r="DN114" i="2" a="1"/>
  <c r="DN114" i="2" s="1"/>
  <c r="DN192" i="2" a="1"/>
  <c r="DN192" i="2" s="1"/>
  <c r="DN129" i="2" a="1"/>
  <c r="DN129" i="2" s="1"/>
  <c r="DN43" i="2" a="1"/>
  <c r="DN43" i="2" s="1"/>
  <c r="DN150" i="2" a="1"/>
  <c r="DN150" i="2" s="1"/>
  <c r="DN170" i="2" a="1"/>
  <c r="DN170" i="2" s="1"/>
  <c r="DN65" i="2" a="1"/>
  <c r="DN65" i="2" s="1"/>
  <c r="DN132" i="2" a="1"/>
  <c r="DN132" i="2" s="1"/>
  <c r="DN70" i="2" a="1"/>
  <c r="DN70" i="2" s="1"/>
  <c r="DN164" i="2" a="1"/>
  <c r="DN164" i="2" s="1"/>
  <c r="DN63" i="2" a="1"/>
  <c r="DN63" i="2" s="1"/>
  <c r="DN103" i="2" a="1"/>
  <c r="DN103" i="2" s="1"/>
  <c r="DN66" i="2" a="1"/>
  <c r="DN66" i="2" s="1"/>
  <c r="DN50" i="2" a="1"/>
  <c r="DN50" i="2" s="1"/>
  <c r="DN186" i="2" a="1"/>
  <c r="DN186" i="2" s="1"/>
  <c r="DN187" i="2" a="1"/>
  <c r="DN187" i="2" s="1"/>
  <c r="DN55" i="2" a="1"/>
  <c r="DN55" i="2" s="1"/>
  <c r="DN135" i="2" a="1"/>
  <c r="DN135" i="2" s="1"/>
  <c r="DN188" i="2" a="1"/>
  <c r="DN188" i="2" s="1"/>
  <c r="DN113" i="2" a="1"/>
  <c r="DN113" i="2" s="1"/>
  <c r="DN137" i="2" a="1"/>
  <c r="DN137" i="2" s="1"/>
  <c r="CS66" i="2" a="1"/>
  <c r="CS66" i="2" s="1"/>
  <c r="CS77" i="2" a="1"/>
  <c r="CS77" i="2" s="1"/>
  <c r="BC83" i="2" a="1"/>
  <c r="BC83" i="2" s="1"/>
  <c r="BC164" i="2" a="1"/>
  <c r="BC164" i="2" s="1"/>
  <c r="BC82" i="2" a="1"/>
  <c r="BC82" i="2" s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<sst xmlns="http://schemas.openxmlformats.org/spreadsheetml/2006/main" count="1173" uniqueCount="324">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</sst>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2.2905884821016174</c:v>
                </c:pt>
                <c:pt idx="2">
                  <c:v>2.7806391363113296</c:v>
                </c:pt>
                <c:pt idx="3">
                  <c:v>3.3759301901802239</c:v>
                </c:pt>
                <c:pt idx="4">
                  <c:v>4.099143282634464</c:v>
                </c:pt>
                <c:pt idx="5">
                  <c:v>4.9778647811784866</c:v>
                </c:pt>
                <c:pt idx="6">
                  <c:v>6.045649679899987</c:v>
                </c:pt>
                <c:pt idx="7">
                  <c:v>7.3433169303918868</c:v>
                </c:pt>
                <c:pt idx="8">
                  <c:v>8.9205266819032492</c:v>
                </c:pt>
                <c:pt idx="9">
                  <c:v>10.837700942422877</c:v>
                </c:pt>
                <c:pt idx="10">
                  <c:v>13.168362625644917</c:v>
                </c:pt>
                <c:pt idx="11">
                  <c:v>16.001984350656915</c:v>
                </c:pt>
                <c:pt idx="12">
                  <c:v>19.447458359250124</c:v>
                </c:pt>
                <c:pt idx="13">
                  <c:v>23.637323299944232</c:v>
                </c:pt>
                <c:pt idx="14">
                  <c:v>28.732913361935303</c:v>
                </c:pt>
                <c:pt idx="15">
                  <c:v>34.930631502141807</c:v>
                </c:pt>
                <c:pt idx="16">
                  <c:v>42.469592729158251</c:v>
                </c:pt>
                <c:pt idx="17">
                  <c:v>51.640937340027314</c:v>
                </c:pt>
                <c:pt idx="18">
                  <c:v>62.799179785769574</c:v>
                </c:pt>
                <c:pt idx="19">
                  <c:v>76.376039076760833</c:v>
                </c:pt>
                <c:pt idx="20">
                  <c:v>92.897294511118176</c:v>
                </c:pt>
                <c:pt idx="21">
                  <c:v>110.61638527930711</c:v>
                </c:pt>
                <c:pt idx="22">
                  <c:v>128.2656339177079</c:v>
                </c:pt>
                <c:pt idx="23">
                  <c:v>145.85602540789642</c:v>
                </c:pt>
                <c:pt idx="24">
                  <c:v>163.39566695137304</c:v>
                </c:pt>
                <c:pt idx="25">
                  <c:v>180.89077768928109</c:v>
                </c:pt>
                <c:pt idx="26">
                  <c:v>158.93547642720694</c:v>
                </c:pt>
                <c:pt idx="27">
                  <c:v>178.3486013074241</c:v>
                </c:pt>
                <c:pt idx="28">
                  <c:v>197.71217376629156</c:v>
                </c:pt>
                <c:pt idx="29">
                  <c:v>217.0317313188167</c:v>
                </c:pt>
                <c:pt idx="30">
                  <c:v>236.3117437149856</c:v>
                </c:pt>
                <c:pt idx="31">
                  <c:v>201.19913913928846</c:v>
                </c:pt>
                <c:pt idx="32">
                  <c:v>221.46000423097382</c:v>
                </c:pt>
                <c:pt idx="33">
                  <c:v>241.67832984636482</c:v>
                </c:pt>
                <c:pt idx="34">
                  <c:v>261.85817498084765</c:v>
                </c:pt>
                <c:pt idx="35">
                  <c:v>282.00292156784502</c:v>
                </c:pt>
                <c:pt idx="36">
                  <c:v>247.98849436354377</c:v>
                </c:pt>
                <c:pt idx="37">
                  <c:v>269.10157451791832</c:v>
                </c:pt>
                <c:pt idx="38">
                  <c:v>290.17736922706086</c:v>
                </c:pt>
                <c:pt idx="39">
                  <c:v>311.21896638426068</c:v>
                </c:pt>
                <c:pt idx="40">
                  <c:v>332.22900222431554</c:v>
                </c:pt>
                <c:pt idx="41">
                  <c:v>298.97487129723987</c:v>
                </c:pt>
                <c:pt idx="42">
                  <c:v>320.63020395999428</c:v>
                </c:pt>
                <c:pt idx="43">
                  <c:v>342.25318435718253</c:v>
                </c:pt>
                <c:pt idx="44">
                  <c:v>363.84614273023845</c:v>
                </c:pt>
                <c:pt idx="45">
                  <c:v>385.41111025063861</c:v>
                </c:pt>
                <c:pt idx="46">
                  <c:v>351.95795503306795</c:v>
                </c:pt>
                <c:pt idx="47">
                  <c:v>373.22554483512414</c:v>
                </c:pt>
                <c:pt idx="48">
                  <c:v>394.46673042704862</c:v>
                </c:pt>
                <c:pt idx="49">
                  <c:v>415.68313267172863</c:v>
                </c:pt>
                <c:pt idx="50">
                  <c:v>436.8761935627694</c:v>
                </c:pt>
                <c:pt idx="51">
                  <c:v>3.405245110226996E-12</c:v>
                </c:pt>
                <c:pt idx="52">
                  <c:v>3.405245110226996E-12</c:v>
                </c:pt>
                <c:pt idx="53">
                  <c:v>3.405245110226996E-12</c:v>
                </c:pt>
                <c:pt idx="54">
                  <c:v>3.405245110226996E-12</c:v>
                </c:pt>
                <c:pt idx="55">
                  <c:v>3.405245110226996E-12</c:v>
                </c:pt>
                <c:pt idx="56">
                  <c:v>3.405245110226996E-12</c:v>
                </c:pt>
                <c:pt idx="57">
                  <c:v>3.405245110226996E-12</c:v>
                </c:pt>
                <c:pt idx="58">
                  <c:v>3.405245110226996E-12</c:v>
                </c:pt>
                <c:pt idx="59">
                  <c:v>3.405245110226996E-12</c:v>
                </c:pt>
                <c:pt idx="60">
                  <c:v>3.405245110226996E-12</c:v>
                </c:pt>
                <c:pt idx="61">
                  <c:v>3.405245110226996E-12</c:v>
                </c:pt>
                <c:pt idx="62">
                  <c:v>3.405245110226996E-12</c:v>
                </c:pt>
                <c:pt idx="63">
                  <c:v>3.405245110226996E-12</c:v>
                </c:pt>
                <c:pt idx="64">
                  <c:v>3.405245110226996E-12</c:v>
                </c:pt>
                <c:pt idx="65">
                  <c:v>3.405245110226996E-12</c:v>
                </c:pt>
                <c:pt idx="66">
                  <c:v>3.405245110226996E-12</c:v>
                </c:pt>
                <c:pt idx="67">
                  <c:v>3.405245110226996E-12</c:v>
                </c:pt>
                <c:pt idx="68">
                  <c:v>3.405245110226996E-12</c:v>
                </c:pt>
                <c:pt idx="69">
                  <c:v>3.405245110226996E-12</c:v>
                </c:pt>
                <c:pt idx="70">
                  <c:v>3.405245110226996E-12</c:v>
                </c:pt>
                <c:pt idx="71">
                  <c:v>3.405245110226996E-12</c:v>
                </c:pt>
                <c:pt idx="72">
                  <c:v>3.405245110226996E-12</c:v>
                </c:pt>
                <c:pt idx="73">
                  <c:v>3.405245110226996E-12</c:v>
                </c:pt>
                <c:pt idx="74">
                  <c:v>3.405245110226996E-12</c:v>
                </c:pt>
                <c:pt idx="75">
                  <c:v>3.405245110226996E-12</c:v>
                </c:pt>
                <c:pt idx="76">
                  <c:v>3.405245110226996E-12</c:v>
                </c:pt>
                <c:pt idx="77">
                  <c:v>3.405245110226996E-12</c:v>
                </c:pt>
                <c:pt idx="78">
                  <c:v>3.405245110226996E-12</c:v>
                </c:pt>
                <c:pt idx="79">
                  <c:v>3.405245110226996E-12</c:v>
                </c:pt>
                <c:pt idx="80">
                  <c:v>3.405245110226996E-12</c:v>
                </c:pt>
                <c:pt idx="81">
                  <c:v>3.405245110226996E-12</c:v>
                </c:pt>
                <c:pt idx="82">
                  <c:v>3.405245110226996E-12</c:v>
                </c:pt>
                <c:pt idx="83">
                  <c:v>3.405245110226996E-12</c:v>
                </c:pt>
                <c:pt idx="84">
                  <c:v>3.405245110226996E-12</c:v>
                </c:pt>
                <c:pt idx="85">
                  <c:v>3.405245110226996E-12</c:v>
                </c:pt>
                <c:pt idx="86">
                  <c:v>3.405245110226996E-12</c:v>
                </c:pt>
                <c:pt idx="87">
                  <c:v>3.405245110226996E-12</c:v>
                </c:pt>
                <c:pt idx="88">
                  <c:v>3.405245110226996E-12</c:v>
                </c:pt>
                <c:pt idx="89">
                  <c:v>3.405245110226996E-12</c:v>
                </c:pt>
                <c:pt idx="90">
                  <c:v>3.405245110226996E-12</c:v>
                </c:pt>
                <c:pt idx="91">
                  <c:v>3.405245110226996E-12</c:v>
                </c:pt>
                <c:pt idx="92">
                  <c:v>3.405245110226996E-12</c:v>
                </c:pt>
                <c:pt idx="93">
                  <c:v>3.405245110226996E-12</c:v>
                </c:pt>
                <c:pt idx="94">
                  <c:v>3.405245110226996E-12</c:v>
                </c:pt>
                <c:pt idx="95">
                  <c:v>3.405245110226996E-12</c:v>
                </c:pt>
                <c:pt idx="96">
                  <c:v>3.405245110226996E-12</c:v>
                </c:pt>
                <c:pt idx="97">
                  <c:v>3.405245110226996E-12</c:v>
                </c:pt>
                <c:pt idx="98">
                  <c:v>3.405245110226996E-12</c:v>
                </c:pt>
                <c:pt idx="99">
                  <c:v>3.405245110226996E-12</c:v>
                </c:pt>
                <c:pt idx="100">
                  <c:v>3.405245110226996E-12</c:v>
                </c:pt>
                <c:pt idx="101">
                  <c:v>3.405245110226996E-12</c:v>
                </c:pt>
                <c:pt idx="102">
                  <c:v>3.405245110226996E-12</c:v>
                </c:pt>
                <c:pt idx="103">
                  <c:v>3.405245110226996E-12</c:v>
                </c:pt>
                <c:pt idx="104">
                  <c:v>3.405245110226996E-12</c:v>
                </c:pt>
                <c:pt idx="105">
                  <c:v>3.405245110226996E-12</c:v>
                </c:pt>
                <c:pt idx="106">
                  <c:v>3.405245110226996E-12</c:v>
                </c:pt>
                <c:pt idx="107">
                  <c:v>3.405245110226996E-12</c:v>
                </c:pt>
                <c:pt idx="108">
                  <c:v>3.405245110226996E-12</c:v>
                </c:pt>
                <c:pt idx="109">
                  <c:v>3.405245110226996E-12</c:v>
                </c:pt>
                <c:pt idx="110">
                  <c:v>3.405245110226996E-12</c:v>
                </c:pt>
                <c:pt idx="111">
                  <c:v>3.405245110226996E-12</c:v>
                </c:pt>
                <c:pt idx="112">
                  <c:v>3.405245110226996E-12</c:v>
                </c:pt>
                <c:pt idx="113">
                  <c:v>3.405245110226996E-12</c:v>
                </c:pt>
                <c:pt idx="114">
                  <c:v>3.405245110226996E-12</c:v>
                </c:pt>
                <c:pt idx="115">
                  <c:v>3.405245110226996E-12</c:v>
                </c:pt>
                <c:pt idx="116">
                  <c:v>3.405245110226996E-12</c:v>
                </c:pt>
                <c:pt idx="117">
                  <c:v>3.405245110226996E-12</c:v>
                </c:pt>
                <c:pt idx="118">
                  <c:v>3.405245110226996E-12</c:v>
                </c:pt>
                <c:pt idx="119">
                  <c:v>3.405245110226996E-12</c:v>
                </c:pt>
                <c:pt idx="120">
                  <c:v>3.405245110226996E-12</c:v>
                </c:pt>
                <c:pt idx="121">
                  <c:v>3.405245110226996E-12</c:v>
                </c:pt>
                <c:pt idx="122">
                  <c:v>3.405245110226996E-12</c:v>
                </c:pt>
                <c:pt idx="123">
                  <c:v>3.405245110226996E-12</c:v>
                </c:pt>
                <c:pt idx="124">
                  <c:v>3.405245110226996E-12</c:v>
                </c:pt>
                <c:pt idx="125">
                  <c:v>3.405245110226996E-12</c:v>
                </c:pt>
                <c:pt idx="126">
                  <c:v>3.405245110226996E-12</c:v>
                </c:pt>
                <c:pt idx="127">
                  <c:v>3.405245110226996E-12</c:v>
                </c:pt>
                <c:pt idx="128">
                  <c:v>3.405245110226996E-12</c:v>
                </c:pt>
                <c:pt idx="129">
                  <c:v>3.405245110226996E-12</c:v>
                </c:pt>
                <c:pt idx="130">
                  <c:v>3.405245110226996E-12</c:v>
                </c:pt>
                <c:pt idx="131">
                  <c:v>3.405245110226996E-12</c:v>
                </c:pt>
                <c:pt idx="132">
                  <c:v>3.405245110226996E-12</c:v>
                </c:pt>
                <c:pt idx="133">
                  <c:v>3.405245110226996E-12</c:v>
                </c:pt>
                <c:pt idx="134">
                  <c:v>3.405245110226996E-12</c:v>
                </c:pt>
                <c:pt idx="135">
                  <c:v>3.405245110226996E-12</c:v>
                </c:pt>
                <c:pt idx="136">
                  <c:v>3.405245110226996E-12</c:v>
                </c:pt>
                <c:pt idx="137">
                  <c:v>3.405245110226996E-12</c:v>
                </c:pt>
                <c:pt idx="138">
                  <c:v>3.405245110226996E-12</c:v>
                </c:pt>
                <c:pt idx="139">
                  <c:v>3.405245110226996E-12</c:v>
                </c:pt>
                <c:pt idx="140">
                  <c:v>3.405245110226996E-12</c:v>
                </c:pt>
                <c:pt idx="141">
                  <c:v>3.405245110226996E-12</c:v>
                </c:pt>
                <c:pt idx="142">
                  <c:v>3.405245110226996E-12</c:v>
                </c:pt>
                <c:pt idx="143">
                  <c:v>3.405245110226996E-12</c:v>
                </c:pt>
                <c:pt idx="144">
                  <c:v>3.405245110226996E-12</c:v>
                </c:pt>
                <c:pt idx="145">
                  <c:v>3.405245110226996E-12</c:v>
                </c:pt>
                <c:pt idx="146">
                  <c:v>3.405245110226996E-12</c:v>
                </c:pt>
                <c:pt idx="147">
                  <c:v>3.405245110226996E-12</c:v>
                </c:pt>
                <c:pt idx="148">
                  <c:v>3.405245110226996E-12</c:v>
                </c:pt>
                <c:pt idx="149">
                  <c:v>3.405245110226996E-12</c:v>
                </c:pt>
                <c:pt idx="150">
                  <c:v>3.405245110226996E-12</c:v>
                </c:pt>
                <c:pt idx="151">
                  <c:v>3.405245110226996E-12</c:v>
                </c:pt>
                <c:pt idx="152">
                  <c:v>3.405245110226996E-12</c:v>
                </c:pt>
                <c:pt idx="153">
                  <c:v>3.405245110226996E-12</c:v>
                </c:pt>
                <c:pt idx="154">
                  <c:v>3.405245110226996E-12</c:v>
                </c:pt>
                <c:pt idx="155">
                  <c:v>3.405245110226996E-12</c:v>
                </c:pt>
                <c:pt idx="156">
                  <c:v>3.405245110226996E-12</c:v>
                </c:pt>
                <c:pt idx="157">
                  <c:v>3.405245110226996E-12</c:v>
                </c:pt>
                <c:pt idx="158">
                  <c:v>3.405245110226996E-12</c:v>
                </c:pt>
                <c:pt idx="159">
                  <c:v>3.405245110226996E-12</c:v>
                </c:pt>
                <c:pt idx="160">
                  <c:v>3.405245110226996E-12</c:v>
                </c:pt>
                <c:pt idx="161">
                  <c:v>3.405245110226996E-12</c:v>
                </c:pt>
                <c:pt idx="162">
                  <c:v>3.405245110226996E-12</c:v>
                </c:pt>
                <c:pt idx="163">
                  <c:v>3.405245110226996E-12</c:v>
                </c:pt>
                <c:pt idx="164">
                  <c:v>3.405245110226996E-12</c:v>
                </c:pt>
                <c:pt idx="165">
                  <c:v>3.405245110226996E-12</c:v>
                </c:pt>
                <c:pt idx="166">
                  <c:v>3.405245110226996E-12</c:v>
                </c:pt>
                <c:pt idx="167">
                  <c:v>3.405245110226996E-12</c:v>
                </c:pt>
                <c:pt idx="168">
                  <c:v>3.405245110226996E-12</c:v>
                </c:pt>
                <c:pt idx="169">
                  <c:v>3.405245110226996E-12</c:v>
                </c:pt>
                <c:pt idx="170">
                  <c:v>3.405245110226996E-12</c:v>
                </c:pt>
                <c:pt idx="171">
                  <c:v>3.405245110226996E-12</c:v>
                </c:pt>
                <c:pt idx="172">
                  <c:v>3.405245110226996E-12</c:v>
                </c:pt>
                <c:pt idx="173">
                  <c:v>3.405245110226996E-12</c:v>
                </c:pt>
                <c:pt idx="174">
                  <c:v>3.405245110226996E-12</c:v>
                </c:pt>
                <c:pt idx="175">
                  <c:v>3.405245110226996E-12</c:v>
                </c:pt>
                <c:pt idx="176">
                  <c:v>3.405245110226996E-12</c:v>
                </c:pt>
                <c:pt idx="177">
                  <c:v>3.405245110226996E-12</c:v>
                </c:pt>
                <c:pt idx="178">
                  <c:v>3.405245110226996E-12</c:v>
                </c:pt>
                <c:pt idx="179">
                  <c:v>3.405245110226996E-12</c:v>
                </c:pt>
                <c:pt idx="180">
                  <c:v>3.405245110226996E-12</c:v>
                </c:pt>
                <c:pt idx="181">
                  <c:v>3.405245110226996E-12</c:v>
                </c:pt>
                <c:pt idx="182">
                  <c:v>3.405245110226996E-12</c:v>
                </c:pt>
                <c:pt idx="183">
                  <c:v>3.405245110226996E-12</c:v>
                </c:pt>
                <c:pt idx="184">
                  <c:v>3.405245110226996E-12</c:v>
                </c:pt>
                <c:pt idx="185">
                  <c:v>3.405245110226996E-12</c:v>
                </c:pt>
                <c:pt idx="186">
                  <c:v>3.405245110226996E-12</c:v>
                </c:pt>
                <c:pt idx="187">
                  <c:v>3.405245110226996E-12</c:v>
                </c:pt>
                <c:pt idx="188">
                  <c:v>3.405245110226996E-12</c:v>
                </c:pt>
                <c:pt idx="189">
                  <c:v>3.405245110226996E-12</c:v>
                </c:pt>
                <c:pt idx="190">
                  <c:v>3.405245110226996E-12</c:v>
                </c:pt>
                <c:pt idx="191">
                  <c:v>3.405245110226996E-12</c:v>
                </c:pt>
                <c:pt idx="192">
                  <c:v>3.405245110226996E-12</c:v>
                </c:pt>
                <c:pt idx="193">
                  <c:v>3.405245110226996E-12</c:v>
                </c:pt>
                <c:pt idx="194">
                  <c:v>3.405245110226996E-12</c:v>
                </c:pt>
                <c:pt idx="195">
                  <c:v>3.405245110226996E-12</c:v>
                </c:pt>
                <c:pt idx="196">
                  <c:v>3.405245110226996E-12</c:v>
                </c:pt>
                <c:pt idx="197">
                  <c:v>3.405245110226996E-12</c:v>
                </c:pt>
                <c:pt idx="198">
                  <c:v>3.405245110226996E-12</c:v>
                </c:pt>
                <c:pt idx="199">
                  <c:v>3.405245110226996E-12</c:v>
                </c:pt>
                <c:pt idx="200">
                  <c:v>3.405245110226996E-12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N8" sqref="N8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30" sqref="C3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8</v>
      </c>
      <c r="C9" s="32">
        <v>0.3</v>
      </c>
      <c r="D9" s="33">
        <f t="shared" ref="D9:D18" si="0">C9*$C$5</f>
        <v>0.75</v>
      </c>
      <c r="E9" s="34">
        <v>50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23</v>
      </c>
      <c r="C10" s="32">
        <v>0.3</v>
      </c>
      <c r="D10" s="33">
        <f t="shared" si="0"/>
        <v>0.75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14</v>
      </c>
      <c r="C11" s="32">
        <v>0.3</v>
      </c>
      <c r="D11" s="33">
        <f t="shared" si="0"/>
        <v>0.75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29</v>
      </c>
      <c r="C12" s="32">
        <v>0.1</v>
      </c>
      <c r="D12" s="33">
        <f t="shared" si="0"/>
        <v>0.25</v>
      </c>
      <c r="E12" s="34">
        <v>69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0.99999999999999989</v>
      </c>
      <c r="D19" s="38">
        <f>SUM(D9:D18)</f>
        <v>2.5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Châtaignier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56</v>
      </c>
      <c r="C36" s="60">
        <v>0</v>
      </c>
      <c r="D36" s="60">
        <v>0</v>
      </c>
      <c r="E36" s="51"/>
      <c r="F36" s="51"/>
      <c r="G36" s="51"/>
      <c r="H36" s="51"/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111</v>
      </c>
      <c r="C37" s="60">
        <v>1</v>
      </c>
      <c r="D37" s="60">
        <v>26</v>
      </c>
      <c r="E37" s="51"/>
      <c r="F37" s="51"/>
      <c r="G37" s="51"/>
      <c r="H37" s="51">
        <v>1</v>
      </c>
      <c r="I37" s="53">
        <f t="shared" ref="I37:I55" si="1">IF(A37&lt;&gt;0,(B37-(B36-D36))/(A37-A36),"")</f>
        <v>11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146</v>
      </c>
      <c r="C38" s="60">
        <v>2</v>
      </c>
      <c r="D38" s="60">
        <v>35</v>
      </c>
      <c r="E38" s="51"/>
      <c r="F38" s="51"/>
      <c r="G38" s="51"/>
      <c r="H38" s="51">
        <v>1</v>
      </c>
      <c r="I38" s="53">
        <f t="shared" si="1"/>
        <v>12.2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175</v>
      </c>
      <c r="C39" s="60">
        <v>3</v>
      </c>
      <c r="D39" s="60">
        <v>35</v>
      </c>
      <c r="E39" s="51"/>
      <c r="F39" s="51"/>
      <c r="G39" s="51"/>
      <c r="H39" s="51"/>
      <c r="I39" s="49">
        <f t="shared" si="1"/>
        <v>12.8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207</v>
      </c>
      <c r="C40" s="60">
        <v>4</v>
      </c>
      <c r="D40" s="60">
        <v>35</v>
      </c>
      <c r="E40" s="51"/>
      <c r="F40" s="51"/>
      <c r="G40" s="51"/>
      <c r="H40" s="51"/>
      <c r="I40" s="49">
        <f t="shared" si="1"/>
        <v>13.4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241</v>
      </c>
      <c r="C41" s="60">
        <v>5</v>
      </c>
      <c r="D41" s="60">
        <v>35</v>
      </c>
      <c r="E41" s="51"/>
      <c r="F41" s="51"/>
      <c r="G41" s="51"/>
      <c r="H41" s="51"/>
      <c r="I41" s="53">
        <f t="shared" si="1"/>
        <v>13.8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274</v>
      </c>
      <c r="C42" s="60"/>
      <c r="D42" s="60">
        <v>274</v>
      </c>
      <c r="E42" s="51"/>
      <c r="F42" s="51"/>
      <c r="G42" s="51"/>
      <c r="H42" s="51"/>
      <c r="I42" s="53">
        <f t="shared" si="1"/>
        <v>13.6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Erable sycomore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15</v>
      </c>
      <c r="B62" s="60">
        <v>37</v>
      </c>
      <c r="C62" s="60">
        <v>1</v>
      </c>
      <c r="D62" s="60">
        <v>15</v>
      </c>
      <c r="E62" s="51"/>
      <c r="F62" s="51"/>
      <c r="G62" s="51"/>
      <c r="H62" s="51">
        <v>1</v>
      </c>
      <c r="I62" s="53">
        <f>IFERROR(B62/A62,"")</f>
        <v>2.4666666666666668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80</v>
      </c>
      <c r="C63" s="60">
        <v>2</v>
      </c>
      <c r="D63" s="60">
        <v>28</v>
      </c>
      <c r="E63" s="51"/>
      <c r="F63" s="51"/>
      <c r="G63" s="51"/>
      <c r="H63" s="51">
        <v>1</v>
      </c>
      <c r="I63" s="49">
        <f>IF(A63&lt;&gt;0,(B63-(B62-D62))/(A63-A62),"")</f>
        <v>11.6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25</v>
      </c>
      <c r="B64" s="60">
        <v>115</v>
      </c>
      <c r="C64" s="60">
        <v>3</v>
      </c>
      <c r="D64" s="60">
        <v>28</v>
      </c>
      <c r="E64" s="51"/>
      <c r="F64" s="51"/>
      <c r="G64" s="51"/>
      <c r="H64" s="51">
        <v>1</v>
      </c>
      <c r="I64" s="49">
        <f>IF(A64&lt;&gt;0,(B64-(B63-D63))/(A64-A63),"")</f>
        <v>12.6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30</v>
      </c>
      <c r="B65" s="60">
        <v>146</v>
      </c>
      <c r="C65" s="60">
        <v>4</v>
      </c>
      <c r="D65" s="60">
        <v>28</v>
      </c>
      <c r="E65" s="51"/>
      <c r="F65" s="51"/>
      <c r="G65" s="51"/>
      <c r="H65" s="51">
        <v>1</v>
      </c>
      <c r="I65" s="49">
        <f>IF(A65&lt;&gt;0,(B65-(B64-D64))/(A65-A64),"")</f>
        <v>11.8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35</v>
      </c>
      <c r="B66" s="60">
        <v>172</v>
      </c>
      <c r="C66" s="60">
        <v>5</v>
      </c>
      <c r="D66" s="60">
        <v>28</v>
      </c>
      <c r="E66" s="51"/>
      <c r="F66" s="51"/>
      <c r="G66" s="51"/>
      <c r="H66" s="51"/>
      <c r="I66" s="49">
        <f t="shared" ref="I66:I81" si="2">IF(A66&lt;&gt;0,(B66-(B65-D65))/(A66-A65),"")</f>
        <v>10.8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40</v>
      </c>
      <c r="B67" s="60">
        <v>192</v>
      </c>
      <c r="C67" s="60">
        <v>6</v>
      </c>
      <c r="D67" s="60">
        <v>28</v>
      </c>
      <c r="E67" s="51"/>
      <c r="F67" s="51"/>
      <c r="G67" s="51"/>
      <c r="H67" s="51"/>
      <c r="I67" s="49">
        <f t="shared" si="2"/>
        <v>9.6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45</v>
      </c>
      <c r="B68" s="60">
        <v>205</v>
      </c>
      <c r="C68" s="60">
        <v>7</v>
      </c>
      <c r="D68" s="60">
        <v>22</v>
      </c>
      <c r="E68" s="51"/>
      <c r="F68" s="51"/>
      <c r="G68" s="51"/>
      <c r="H68" s="51"/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50</v>
      </c>
      <c r="B69" s="50">
        <v>219</v>
      </c>
      <c r="C69" s="50">
        <v>8</v>
      </c>
      <c r="D69" s="50">
        <v>17</v>
      </c>
      <c r="E69" s="51"/>
      <c r="F69" s="51"/>
      <c r="G69" s="51"/>
      <c r="H69" s="51"/>
      <c r="I69" s="49">
        <f t="shared" si="2"/>
        <v>7.2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55</v>
      </c>
      <c r="B70" s="50">
        <v>232</v>
      </c>
      <c r="C70" s="50">
        <v>9</v>
      </c>
      <c r="D70" s="50">
        <v>13</v>
      </c>
      <c r="E70" s="51"/>
      <c r="F70" s="51"/>
      <c r="G70" s="51"/>
      <c r="H70" s="51"/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60</v>
      </c>
      <c r="B71" s="50">
        <v>245</v>
      </c>
      <c r="C71" s="50"/>
      <c r="D71" s="50">
        <v>245</v>
      </c>
      <c r="E71" s="51"/>
      <c r="F71" s="51"/>
      <c r="G71" s="51"/>
      <c r="H71" s="51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42</v>
      </c>
      <c r="C88" s="60">
        <v>1</v>
      </c>
      <c r="D88" s="60">
        <v>0</v>
      </c>
      <c r="E88" s="51"/>
      <c r="F88" s="51"/>
      <c r="G88" s="51"/>
      <c r="H88" s="87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25</v>
      </c>
      <c r="B89" s="60">
        <v>70</v>
      </c>
      <c r="C89" s="60">
        <v>2</v>
      </c>
      <c r="D89" s="60">
        <v>8</v>
      </c>
      <c r="E89" s="51"/>
      <c r="F89" s="51"/>
      <c r="G89" s="51"/>
      <c r="H89" s="87">
        <v>1</v>
      </c>
      <c r="I89" s="53">
        <f t="shared" ref="I89:I107" si="3">IF(A89&lt;&gt;0,(B89-(B88-D88))/(A89-A88),"")</f>
        <v>5.6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97</v>
      </c>
      <c r="C90" s="60">
        <v>3</v>
      </c>
      <c r="D90" s="60">
        <v>21</v>
      </c>
      <c r="E90" s="87"/>
      <c r="F90" s="87"/>
      <c r="G90" s="87"/>
      <c r="H90" s="87">
        <v>1</v>
      </c>
      <c r="I90" s="53">
        <f t="shared" si="3"/>
        <v>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35</v>
      </c>
      <c r="B91" s="60">
        <v>116</v>
      </c>
      <c r="C91" s="60">
        <v>4</v>
      </c>
      <c r="D91" s="60">
        <v>21</v>
      </c>
      <c r="E91" s="87"/>
      <c r="F91" s="87"/>
      <c r="G91" s="87"/>
      <c r="H91" s="87"/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40</v>
      </c>
      <c r="B92" s="60">
        <v>137</v>
      </c>
      <c r="C92" s="60">
        <v>5</v>
      </c>
      <c r="D92" s="60">
        <v>21</v>
      </c>
      <c r="E92" s="87"/>
      <c r="F92" s="87"/>
      <c r="G92" s="87"/>
      <c r="H92" s="87"/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45</v>
      </c>
      <c r="B93" s="60">
        <v>158</v>
      </c>
      <c r="C93" s="60">
        <v>6</v>
      </c>
      <c r="D93" s="60">
        <v>21</v>
      </c>
      <c r="E93" s="87"/>
      <c r="F93" s="87"/>
      <c r="G93" s="87"/>
      <c r="H93" s="87"/>
      <c r="I93" s="53">
        <f t="shared" si="3"/>
        <v>8.4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50</v>
      </c>
      <c r="B94" s="60">
        <v>178</v>
      </c>
      <c r="C94" s="60">
        <v>7</v>
      </c>
      <c r="D94" s="60">
        <v>21</v>
      </c>
      <c r="E94" s="87"/>
      <c r="F94" s="87"/>
      <c r="G94" s="87"/>
      <c r="H94" s="87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55</v>
      </c>
      <c r="B95" s="60">
        <v>197</v>
      </c>
      <c r="C95" s="60">
        <v>8</v>
      </c>
      <c r="D95" s="60">
        <v>21</v>
      </c>
      <c r="E95" s="87"/>
      <c r="F95" s="87"/>
      <c r="G95" s="87"/>
      <c r="H95" s="87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60</v>
      </c>
      <c r="B96" s="60">
        <v>214</v>
      </c>
      <c r="C96" s="60">
        <v>9</v>
      </c>
      <c r="D96" s="60">
        <v>21</v>
      </c>
      <c r="E96" s="87"/>
      <c r="F96" s="87"/>
      <c r="G96" s="87"/>
      <c r="H96" s="87"/>
      <c r="I96" s="53">
        <f t="shared" si="3"/>
        <v>7.6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65</v>
      </c>
      <c r="B97" s="60">
        <v>229</v>
      </c>
      <c r="C97" s="60">
        <v>10</v>
      </c>
      <c r="D97" s="60">
        <v>21</v>
      </c>
      <c r="E97" s="87"/>
      <c r="F97" s="87"/>
      <c r="G97" s="87"/>
      <c r="H97" s="87"/>
      <c r="I97" s="53">
        <f t="shared" si="3"/>
        <v>7.2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70</v>
      </c>
      <c r="B98" s="60">
        <v>242</v>
      </c>
      <c r="C98" s="60">
        <v>11</v>
      </c>
      <c r="D98" s="60">
        <v>21</v>
      </c>
      <c r="E98" s="87"/>
      <c r="F98" s="87"/>
      <c r="G98" s="87"/>
      <c r="H98" s="87"/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75</v>
      </c>
      <c r="B99" s="60">
        <v>252</v>
      </c>
      <c r="C99" s="60">
        <v>12</v>
      </c>
      <c r="D99" s="60">
        <v>21</v>
      </c>
      <c r="E99" s="87"/>
      <c r="F99" s="87"/>
      <c r="G99" s="87"/>
      <c r="H99" s="87"/>
      <c r="I99" s="53">
        <f t="shared" si="3"/>
        <v>6.2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80</v>
      </c>
      <c r="B100" s="60">
        <v>261</v>
      </c>
      <c r="C100" s="60"/>
      <c r="D100" s="60">
        <v>261</v>
      </c>
      <c r="E100" s="65"/>
      <c r="F100" s="65"/>
      <c r="G100" s="65"/>
      <c r="H100" s="65"/>
      <c r="I100" s="53">
        <f t="shared" si="3"/>
        <v>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Merisier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15</v>
      </c>
      <c r="B114" s="60">
        <v>40</v>
      </c>
      <c r="C114" s="50">
        <v>1</v>
      </c>
      <c r="D114" s="60">
        <v>3</v>
      </c>
      <c r="E114" s="51"/>
      <c r="F114" s="51"/>
      <c r="G114" s="51"/>
      <c r="H114" s="51">
        <v>1</v>
      </c>
      <c r="I114" s="53">
        <f>IFERROR(B114/A114,"")</f>
        <v>2.6666666666666665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85</v>
      </c>
      <c r="C115" s="50">
        <v>2</v>
      </c>
      <c r="D115" s="60">
        <v>25</v>
      </c>
      <c r="E115" s="51"/>
      <c r="F115" s="51">
        <v>0.2</v>
      </c>
      <c r="G115" s="51">
        <v>0.8</v>
      </c>
      <c r="H115" s="51"/>
      <c r="I115" s="53">
        <f t="shared" ref="I115:I133" si="4">IF(A115&lt;&gt;0,(B115-(B114-D114))/(A115-A114),"")</f>
        <v>9.6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25</v>
      </c>
      <c r="B116" s="60">
        <v>113</v>
      </c>
      <c r="C116" s="50">
        <v>3</v>
      </c>
      <c r="D116" s="60">
        <v>27</v>
      </c>
      <c r="E116" s="51"/>
      <c r="F116" s="51">
        <v>0.2</v>
      </c>
      <c r="G116" s="51">
        <v>0.8</v>
      </c>
      <c r="H116" s="51"/>
      <c r="I116" s="53">
        <f t="shared" si="4"/>
        <v>10.6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31</v>
      </c>
      <c r="B117" s="60">
        <v>155</v>
      </c>
      <c r="C117" s="50">
        <v>4</v>
      </c>
      <c r="D117" s="60">
        <v>36</v>
      </c>
      <c r="E117" s="51"/>
      <c r="F117" s="51"/>
      <c r="G117" s="51"/>
      <c r="H117" s="51"/>
      <c r="I117" s="53">
        <f t="shared" si="4"/>
        <v>11.5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37</v>
      </c>
      <c r="B118" s="60">
        <v>188</v>
      </c>
      <c r="C118" s="50">
        <v>5</v>
      </c>
      <c r="D118" s="60">
        <v>36</v>
      </c>
      <c r="E118" s="51"/>
      <c r="F118" s="51"/>
      <c r="G118" s="51"/>
      <c r="H118" s="51"/>
      <c r="I118" s="53">
        <f t="shared" si="4"/>
        <v>11.5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44</v>
      </c>
      <c r="B119" s="60">
        <v>230</v>
      </c>
      <c r="C119" s="50">
        <v>6</v>
      </c>
      <c r="D119" s="60">
        <v>43</v>
      </c>
      <c r="E119" s="51"/>
      <c r="F119" s="51"/>
      <c r="G119" s="51"/>
      <c r="H119" s="51"/>
      <c r="I119" s="53">
        <f t="shared" si="4"/>
        <v>11.142857142857142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52</v>
      </c>
      <c r="B120" s="60">
        <v>270</v>
      </c>
      <c r="C120" s="50">
        <v>7</v>
      </c>
      <c r="D120" s="60">
        <v>48</v>
      </c>
      <c r="E120" s="87"/>
      <c r="F120" s="87"/>
      <c r="G120" s="87"/>
      <c r="H120" s="87"/>
      <c r="I120" s="53">
        <f t="shared" si="4"/>
        <v>10.375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60</v>
      </c>
      <c r="B121" s="60">
        <v>297</v>
      </c>
      <c r="C121" s="50">
        <v>8</v>
      </c>
      <c r="D121" s="60">
        <v>47</v>
      </c>
      <c r="E121" s="87"/>
      <c r="F121" s="87"/>
      <c r="G121" s="87"/>
      <c r="H121" s="87"/>
      <c r="I121" s="53">
        <f t="shared" si="4"/>
        <v>9.375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69</v>
      </c>
      <c r="B122" s="60">
        <v>328</v>
      </c>
      <c r="C122" s="60"/>
      <c r="D122" s="60">
        <v>328</v>
      </c>
      <c r="E122" s="87"/>
      <c r="F122" s="87"/>
      <c r="G122" s="87"/>
      <c r="H122" s="87"/>
      <c r="I122" s="53">
        <f t="shared" si="4"/>
        <v>8.6666666666666661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6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6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6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E16" sqref="E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Châtaignier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sycomore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Merisier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193.60868637458515</v>
      </c>
      <c r="T3" s="59">
        <f>IF('Données projet'!E9&gt;30,$R$33-$H$33,LOOKUP('Données projet'!$E$9,$A$3:$A$203,R3:R203)-LOOKUP('Données projet'!$E$9,$A$3:$A$203,$H$3:$H$203))</f>
        <v>272.97841038165217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238.56893947183841</v>
      </c>
      <c r="AO3" s="59">
        <f>IF('Données projet'!E10&gt;30,$AM$33-$H$33,LOOKUP('Données projet'!$E$10,$A$3:$A$203,AM3:AM203)-LOOKUP('Données projet'!$E$10,$A$3:$A$203,$H$3:$H$203))</f>
        <v>292.57799203101769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277.20405719540543</v>
      </c>
      <c r="BJ3" s="59">
        <f>IF('Données projet'!E11&gt;30,$BH$33-$H$33,LOOKUP('Données projet'!$E$11,$A$3:$A$203,BH3:BH203)-LOOKUP('Données projet'!$E$11,$A$3:$A$203,$H$3:$H$203))</f>
        <v>231.36959598460686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288.82868507674738</v>
      </c>
      <c r="CE3" s="59">
        <f>IF('Données projet'!E12&gt;30,$CC$33-$H$33,LOOKUP('Données projet'!$E$12,$A$3:$A$203,CC3:CC203)-LOOKUP('Données projet'!$E$12,$A$3:$A$203,$H$3:$H$203))</f>
        <v>283.48738729114024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1.2229519710813024</v>
      </c>
      <c r="O4" s="13">
        <f>N4*VLOOKUP('Données projet'!$B$9,Paramètres!$A$1:$I$89,3,0)*VLOOKUP('Données projet'!$B$9,Paramètres!$A$1:$I$89,5,0)</f>
        <v>0.89666838519681091</v>
      </c>
      <c r="P4" s="13">
        <f>EXP(-1.0587+0.8836*LN(O4)+0.284)</f>
        <v>0.41850203514861517</v>
      </c>
      <c r="Q4" s="20">
        <f t="shared" ref="Q4:Q34" si="2">(O4+P4)*0.475*44/12</f>
        <v>2.2905884821016174</v>
      </c>
      <c r="R4" s="59">
        <f t="shared" si="0"/>
        <v>260.17947737099047</v>
      </c>
      <c r="S4" s="59">
        <f ca="1">AVERAGE(OFFSET($R$3,0,0,'Données projet'!$E$9+1,1))-AVERAGE(OFFSET($H$3,0,0,'Données projet'!$E$9+1,1))</f>
        <v>193.60868637458515</v>
      </c>
      <c r="T4" s="59">
        <f>$T$3</f>
        <v>272.97841038165217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2.4666666666666668</v>
      </c>
      <c r="AI4" s="13">
        <f>IF('Données projet'!$A$62&gt;35,AI3+AH4-AQ3,IF(A4&lt;'Données projet'!$A$62,$AF$205^A4,IF(A4='Données projet'!$A$62,'Données projet'!$B$62,AI3+AH4-AQ3)))</f>
        <v>1.2721747796233518</v>
      </c>
      <c r="AJ4" s="13">
        <f>AI4*VLOOKUP('Données projet'!$B$10,Paramètres!$A$1:$I$89,3,0)*VLOOKUP('Données projet'!$B$10,Paramètres!$A$1:$I$89,5,0)</f>
        <v>1.0121422546683387</v>
      </c>
      <c r="AK4" s="13">
        <f>EXP(-1.0587+0.8836*LN(AJ4)+0.284)</f>
        <v>0.46578286063395047</v>
      </c>
      <c r="AL4" s="20">
        <f t="shared" ref="AL4:AL67" si="4">(AJ4+AK4)*0.475*44/12</f>
        <v>2.574052909151487</v>
      </c>
      <c r="AM4" s="59">
        <f t="shared" ref="AM4:AM67" si="5">AL4+(AD4+AE4)*44/12</f>
        <v>260.46294179804033</v>
      </c>
      <c r="AN4" s="59">
        <f ca="1">AVERAGE(OFFSET($AM$3,0,0,'Données projet'!$E$10+1,1))-AVERAGE(OFFSET($H$3,0,0,'Données projet'!$E$10+1,1))</f>
        <v>238.56893947183841</v>
      </c>
      <c r="AO4" s="59">
        <f>$AO$3</f>
        <v>292.57799203101769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1.0907244698905405</v>
      </c>
      <c r="BF4" s="13">
        <f>EXP(-1.0587+0.8836*LN(BE4)+0.284)</f>
        <v>0.49759623852608204</v>
      </c>
      <c r="BG4" s="20">
        <f t="shared" ref="BG4:BG67" si="7">(BE4+BF4)*0.475*44/12</f>
        <v>2.7663252338256172</v>
      </c>
      <c r="BH4" s="59">
        <f t="shared" ref="BH4:BH67" si="8">BG4+(AY4+AZ4)*44/12</f>
        <v>260.65521412271448</v>
      </c>
      <c r="BI4" s="59">
        <f ca="1">AVERAGE(OFFSET($BH$3,0,0,'Données projet'!$E$11+1,1))-AVERAGE(OFFSET($H$3,0,0,'Données projet'!$E$11+1,1))</f>
        <v>277.20405719540543</v>
      </c>
      <c r="BJ4" s="59">
        <f>$BJ$3</f>
        <v>231.36959598460686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2.6666666666666665</v>
      </c>
      <c r="BY4" s="12">
        <f>IF('Données projet'!$A$114&gt;35,BY3+BX4-CG3,IF(A4&lt;'Données projet'!$A$114,$BV$205^A4,IF(A4='Données projet'!$A$114,'Données projet'!$B$114,BY3+BX4-CG3)))</f>
        <v>1.2788040393997409</v>
      </c>
      <c r="BZ4" s="13">
        <f>BY4*VLOOKUP('Données projet'!$B$12,Paramètres!$A$1:$I$89,3,0)*VLOOKUP('Données projet'!$B$12,Paramètres!$A$1:$I$89,5,0)</f>
        <v>0.99746715073179792</v>
      </c>
      <c r="CA4" s="13">
        <f>EXP(-1.0587+0.8836*LN(BZ4)+0.284)</f>
        <v>0.45981048445793882</v>
      </c>
      <c r="CB4" s="20">
        <f t="shared" ref="CB4:CB67" si="10">(BZ4+CA4)*0.475*44/12</f>
        <v>2.5380918812887914</v>
      </c>
      <c r="CC4" s="59">
        <f t="shared" ref="CC4:CC67" si="11">CB4+(BT4+BU4)*44/12</f>
        <v>260.42698077017764</v>
      </c>
      <c r="CD4" s="59">
        <f ca="1">AVERAGE(OFFSET($CC$3,0,0,'Données projet'!$E$12+1,1))-AVERAGE(OFFSET($H$3,0,0,'Données projet'!$E$12+1,1))</f>
        <v>288.82868507674738</v>
      </c>
      <c r="CE4" s="59">
        <f>$CE$3</f>
        <v>283.48738729114024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1.4956115235716427</v>
      </c>
      <c r="O5" s="13">
        <f>N5*VLOOKUP('Données projet'!$B$9,Paramètres!$A$1:$I$89,3,0)*VLOOKUP('Données projet'!$B$9,Paramètres!$A$1:$I$89,5,0)</f>
        <v>1.0965823690827283</v>
      </c>
      <c r="P5" s="13">
        <f t="shared" ref="P5:P68" si="33">EXP(-1.0587+0.8836*LN(O5)+0.284)</f>
        <v>0.49995684793813105</v>
      </c>
      <c r="Q5" s="20">
        <f t="shared" si="2"/>
        <v>2.7806391363113296</v>
      </c>
      <c r="R5" s="59">
        <f t="shared" si="0"/>
        <v>261.89175024742246</v>
      </c>
      <c r="S5" s="59">
        <f ca="1">AVERAGE(OFFSET($R$3,0,0,'Données projet'!$E$9+1,1))-AVERAGE(OFFSET($H$3,0,0,'Données projet'!$E$9+1,1))</f>
        <v>193.60868637458515</v>
      </c>
      <c r="T5" s="59">
        <f t="shared" ref="T5:T68" si="34">$T$3</f>
        <v>272.97841038165217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2.4666666666666668</v>
      </c>
      <c r="AI5" s="13">
        <f>IF('Données projet'!$A$62&gt;35,AI4+AH5-AQ4,IF(A5&lt;'Données projet'!$A$62,$AF$205^A5,IF(A5='Données projet'!$A$62,'Données projet'!$B$62,AI4+AH5-AQ4)))</f>
        <v>1.6184286699097237</v>
      </c>
      <c r="AJ5" s="13">
        <f>AI5*VLOOKUP('Données projet'!$B$10,Paramètres!$A$1:$I$89,3,0)*VLOOKUP('Données projet'!$B$10,Paramètres!$A$1:$I$89,5,0)</f>
        <v>1.2876218497801761</v>
      </c>
      <c r="AK5" s="13">
        <f t="shared" ref="AK5:AK68" si="35">EXP(-1.0587+0.8836*LN(AJ5)+0.284)</f>
        <v>0.57618379541883336</v>
      </c>
      <c r="AL5" s="20">
        <f t="shared" si="4"/>
        <v>3.2461281653882743</v>
      </c>
      <c r="AM5" s="59">
        <f t="shared" si="5"/>
        <v>262.3572392764994</v>
      </c>
      <c r="AN5" s="59">
        <f ca="1">AVERAGE(OFFSET($AM$3,0,0,'Données projet'!$E$10+1,1))-AVERAGE(OFFSET($H$3,0,0,'Données projet'!$E$10+1,1))</f>
        <v>238.56893947183841</v>
      </c>
      <c r="AO5" s="59">
        <f t="shared" ref="AO5:AO68" si="36">$AO$3</f>
        <v>292.57799203101769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1.3148539668633961</v>
      </c>
      <c r="BF5" s="13">
        <f t="shared" ref="BF5:BF68" si="37">EXP(-1.0587+0.8836*LN(BE5)+0.284)</f>
        <v>0.58693801963664449</v>
      </c>
      <c r="BG5" s="20">
        <f t="shared" si="7"/>
        <v>3.3122877098209038</v>
      </c>
      <c r="BH5" s="59">
        <f t="shared" si="8"/>
        <v>262.42339882093205</v>
      </c>
      <c r="BI5" s="59">
        <f ca="1">AVERAGE(OFFSET($BH$3,0,0,'Données projet'!$E$11+1,1))-AVERAGE(OFFSET($H$3,0,0,'Données projet'!$E$11+1,1))</f>
        <v>277.20405719540543</v>
      </c>
      <c r="BJ5" s="59">
        <f t="shared" ref="BJ5:BJ68" si="38">$BJ$3</f>
        <v>231.36959598460686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2.6666666666666665</v>
      </c>
      <c r="BY5" s="12">
        <f>IF('Données projet'!$A$114&gt;35,BY4+BX5-CG4,IF(A5&lt;'Données projet'!$A$114,$BV$205^A5,IF(A5='Données projet'!$A$114,'Données projet'!$B$114,BY4+BX5-CG4)))</f>
        <v>1.6353397711850939</v>
      </c>
      <c r="BZ5" s="13">
        <f>BY5*VLOOKUP('Données projet'!$B$12,Paramètres!$A$1:$I$89,3,0)*VLOOKUP('Données projet'!$B$12,Paramètres!$A$1:$I$89,5,0)</f>
        <v>1.2755650215243732</v>
      </c>
      <c r="CA5" s="13">
        <f t="shared" ref="CA5:CA68" si="39">EXP(-1.0587+0.8836*LN(BZ5)+0.284)</f>
        <v>0.57141400910743001</v>
      </c>
      <c r="CB5" s="20">
        <f t="shared" si="10"/>
        <v>3.2168218116837237</v>
      </c>
      <c r="CC5" s="59">
        <f t="shared" si="11"/>
        <v>262.32793292279484</v>
      </c>
      <c r="CD5" s="59">
        <f ca="1">AVERAGE(OFFSET($CC$3,0,0,'Données projet'!$E$12+1,1))-AVERAGE(OFFSET($H$3,0,0,'Données projet'!$E$12+1,1))</f>
        <v>288.82868507674738</v>
      </c>
      <c r="CE5" s="59">
        <f t="shared" ref="CE5:CE68" si="40">$CE$3</f>
        <v>283.48738729114024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1.8290610607238502</v>
      </c>
      <c r="O6" s="13">
        <f>N6*VLOOKUP('Données projet'!$B$9,Paramètres!$A$1:$I$89,3,0)*VLOOKUP('Données projet'!$B$9,Paramètres!$A$1:$I$89,5,0)</f>
        <v>1.341067569722727</v>
      </c>
      <c r="P6" s="13">
        <f t="shared" si="33"/>
        <v>0.5972655538257271</v>
      </c>
      <c r="Q6" s="20">
        <f t="shared" si="2"/>
        <v>3.3759301901802239</v>
      </c>
      <c r="R6" s="59">
        <f t="shared" si="0"/>
        <v>263.70926352351353</v>
      </c>
      <c r="S6" s="59">
        <f ca="1">AVERAGE(OFFSET($R$3,0,0,'Données projet'!$E$9+1,1))-AVERAGE(OFFSET($H$3,0,0,'Données projet'!$E$9+1,1))</f>
        <v>193.60868637458515</v>
      </c>
      <c r="T6" s="59">
        <f t="shared" si="34"/>
        <v>272.97841038165217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2.4666666666666668</v>
      </c>
      <c r="AI6" s="13">
        <f>IF('Données projet'!$A$62&gt;35,AI5+AH6-AQ5,IF(A6&lt;'Données projet'!$A$62,$AF$205^A6,IF(A6='Données projet'!$A$62,'Données projet'!$B$62,AI5+AH6-AQ5)))</f>
        <v>2.0589241364785171</v>
      </c>
      <c r="AJ6" s="13">
        <f>AI6*VLOOKUP('Données projet'!$B$10,Paramètres!$A$1:$I$89,3,0)*VLOOKUP('Données projet'!$B$10,Paramètres!$A$1:$I$89,5,0)</f>
        <v>1.6380800429823084</v>
      </c>
      <c r="AK6" s="13">
        <f t="shared" si="35"/>
        <v>0.71275221602487127</v>
      </c>
      <c r="AL6" s="20">
        <f t="shared" si="4"/>
        <v>4.0943661844375043</v>
      </c>
      <c r="AM6" s="59">
        <f t="shared" si="5"/>
        <v>264.4276995177708</v>
      </c>
      <c r="AN6" s="59">
        <f ca="1">AVERAGE(OFFSET($AM$3,0,0,'Données projet'!$E$10+1,1))-AVERAGE(OFFSET($H$3,0,0,'Données projet'!$E$10+1,1))</f>
        <v>238.56893947183841</v>
      </c>
      <c r="AO6" s="59">
        <f t="shared" si="36"/>
        <v>292.57799203101769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1.5850391202371266</v>
      </c>
      <c r="BF6" s="13">
        <f t="shared" si="37"/>
        <v>0.69232082604846479</v>
      </c>
      <c r="BG6" s="20">
        <f t="shared" si="7"/>
        <v>3.966401906447405</v>
      </c>
      <c r="BH6" s="59">
        <f t="shared" si="8"/>
        <v>264.29973523978072</v>
      </c>
      <c r="BI6" s="59">
        <f ca="1">AVERAGE(OFFSET($BH$3,0,0,'Données projet'!$E$11+1,1))-AVERAGE(OFFSET($H$3,0,0,'Données projet'!$E$11+1,1))</f>
        <v>277.20405719540543</v>
      </c>
      <c r="BJ6" s="59">
        <f t="shared" si="38"/>
        <v>231.36959598460686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2.6666666666666665</v>
      </c>
      <c r="BY6" s="12">
        <f>IF('Données projet'!$A$114&gt;35,BY5+BX6-CG5,IF(A6&lt;'Données projet'!$A$114,$BV$205^A6,IF(A6='Données projet'!$A$114,'Données projet'!$B$114,BY5+BX6-CG5)))</f>
        <v>2.0912791051825459</v>
      </c>
      <c r="BZ6" s="13">
        <f>BY6*VLOOKUP('Données projet'!$B$12,Paramètres!$A$1:$I$89,3,0)*VLOOKUP('Données projet'!$B$12,Paramètres!$A$1:$I$89,5,0)</f>
        <v>1.6311977020423858</v>
      </c>
      <c r="CA6" s="13">
        <f t="shared" si="39"/>
        <v>0.71010553443370616</v>
      </c>
      <c r="CB6" s="20">
        <f t="shared" si="10"/>
        <v>4.0777698035291934</v>
      </c>
      <c r="CC6" s="59">
        <f t="shared" si="11"/>
        <v>264.41110313686249</v>
      </c>
      <c r="CD6" s="59">
        <f ca="1">AVERAGE(OFFSET($CC$3,0,0,'Données projet'!$E$12+1,1))-AVERAGE(OFFSET($H$3,0,0,'Données projet'!$E$12+1,1))</f>
        <v>288.82868507674738</v>
      </c>
      <c r="CE6" s="59">
        <f t="shared" si="40"/>
        <v>283.48738729114024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2.2368538294402907</v>
      </c>
      <c r="O7" s="13">
        <f>N7*VLOOKUP('Données projet'!$B$9,Paramètres!$A$1:$I$89,3,0)*VLOOKUP('Données projet'!$B$9,Paramètres!$A$1:$I$89,5,0)</f>
        <v>1.640061227745621</v>
      </c>
      <c r="P7" s="13">
        <f t="shared" si="33"/>
        <v>0.71351386276220552</v>
      </c>
      <c r="Q7" s="20">
        <f t="shared" si="2"/>
        <v>4.099143282634464</v>
      </c>
      <c r="R7" s="59">
        <f t="shared" si="0"/>
        <v>265.65469883819003</v>
      </c>
      <c r="S7" s="59">
        <f ca="1">AVERAGE(OFFSET($R$3,0,0,'Données projet'!$E$9+1,1))-AVERAGE(OFFSET($H$3,0,0,'Données projet'!$E$9+1,1))</f>
        <v>193.60868637458515</v>
      </c>
      <c r="T7" s="59">
        <f t="shared" si="34"/>
        <v>272.97841038165217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2.4666666666666668</v>
      </c>
      <c r="AI7" s="13">
        <f>IF('Données projet'!$A$62&gt;35,AI6+AH7-AQ6,IF(A7&lt;'Données projet'!$A$62,$AF$205^A7,IF(A7='Données projet'!$A$62,'Données projet'!$B$62,AI6+AH7-AQ6)))</f>
        <v>2.6193113595857573</v>
      </c>
      <c r="AJ7" s="13">
        <f>AI7*VLOOKUP('Données projet'!$B$10,Paramètres!$A$1:$I$89,3,0)*VLOOKUP('Données projet'!$B$10,Paramètres!$A$1:$I$89,5,0)</f>
        <v>2.0839241176864287</v>
      </c>
      <c r="AK7" s="13">
        <f t="shared" si="35"/>
        <v>0.88169040068036508</v>
      </c>
      <c r="AL7" s="20">
        <f t="shared" si="4"/>
        <v>5.1651119528221656</v>
      </c>
      <c r="AM7" s="59">
        <f t="shared" si="5"/>
        <v>266.72066750837769</v>
      </c>
      <c r="AN7" s="59">
        <f ca="1">AVERAGE(OFFSET($AM$3,0,0,'Données projet'!$E$10+1,1))-AVERAGE(OFFSET($H$3,0,0,'Données projet'!$E$10+1,1))</f>
        <v>238.56893947183841</v>
      </c>
      <c r="AO7" s="59">
        <f t="shared" si="36"/>
        <v>292.57799203101769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1.9107437601419195</v>
      </c>
      <c r="BF7" s="13">
        <f t="shared" si="37"/>
        <v>0.81662477151702284</v>
      </c>
      <c r="BG7" s="20">
        <f t="shared" si="7"/>
        <v>4.7501668593059909</v>
      </c>
      <c r="BH7" s="59">
        <f t="shared" si="8"/>
        <v>266.30572241486152</v>
      </c>
      <c r="BI7" s="59">
        <f ca="1">AVERAGE(OFFSET($BH$3,0,0,'Données projet'!$E$11+1,1))-AVERAGE(OFFSET($H$3,0,0,'Données projet'!$E$11+1,1))</f>
        <v>277.20405719540543</v>
      </c>
      <c r="BJ7" s="59">
        <f t="shared" si="38"/>
        <v>231.36959598460686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2.6666666666666665</v>
      </c>
      <c r="BY7" s="12">
        <f>IF('Données projet'!$A$114&gt;35,BY6+BX7-CG6,IF(A7&lt;'Données projet'!$A$114,$BV$205^A7,IF(A7='Données projet'!$A$114,'Données projet'!$B$114,BY6+BX7-CG6)))</f>
        <v>2.6743361672197152</v>
      </c>
      <c r="BZ7" s="13">
        <f>BY7*VLOOKUP('Données projet'!$B$12,Paramètres!$A$1:$I$89,3,0)*VLOOKUP('Données projet'!$B$12,Paramètres!$A$1:$I$89,5,0)</f>
        <v>2.0859822104313781</v>
      </c>
      <c r="CA7" s="13">
        <f t="shared" si="39"/>
        <v>0.88245976121767966</v>
      </c>
      <c r="CB7" s="20">
        <f t="shared" si="10"/>
        <v>5.1700364339554419</v>
      </c>
      <c r="CC7" s="59">
        <f t="shared" si="11"/>
        <v>266.72559198951097</v>
      </c>
      <c r="CD7" s="59">
        <f ca="1">AVERAGE(OFFSET($CC$3,0,0,'Données projet'!$E$12+1,1))-AVERAGE(OFFSET($H$3,0,0,'Données projet'!$E$12+1,1))</f>
        <v>288.82868507674738</v>
      </c>
      <c r="CE7" s="59">
        <f t="shared" si="40"/>
        <v>283.48738729114024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2.735564799734763</v>
      </c>
      <c r="O8" s="13">
        <f>N8*VLOOKUP('Données projet'!$B$9,Paramètres!$A$1:$I$89,3,0)*VLOOKUP('Données projet'!$B$9,Paramètres!$A$1:$I$89,5,0)</f>
        <v>2.0057161111655284</v>
      </c>
      <c r="P8" s="13">
        <f t="shared" si="33"/>
        <v>0.85238806941542067</v>
      </c>
      <c r="Q8" s="20">
        <f t="shared" si="2"/>
        <v>4.9778647811784866</v>
      </c>
      <c r="R8" s="59">
        <f t="shared" si="0"/>
        <v>267.75564255895625</v>
      </c>
      <c r="S8" s="59">
        <f ca="1">AVERAGE(OFFSET($R$3,0,0,'Données projet'!$E$9+1,1))-AVERAGE(OFFSET($H$3,0,0,'Données projet'!$E$9+1,1))</f>
        <v>193.60868637458515</v>
      </c>
      <c r="T8" s="59">
        <f t="shared" si="34"/>
        <v>272.97841038165217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2.4666666666666668</v>
      </c>
      <c r="AI8" s="13">
        <f>IF('Données projet'!$A$62&gt;35,AI7+AH8-AQ7,IF(A8&lt;'Données projet'!$A$62,$AF$205^A8,IF(A8='Données projet'!$A$62,'Données projet'!$B$62,AI7+AH8-AQ7)))</f>
        <v>3.332221851645953</v>
      </c>
      <c r="AJ8" s="13">
        <f>AI8*VLOOKUP('Données projet'!$B$10,Paramètres!$A$1:$I$89,3,0)*VLOOKUP('Données projet'!$B$10,Paramètres!$A$1:$I$89,5,0)</f>
        <v>2.6511157051695204</v>
      </c>
      <c r="AK8" s="13">
        <f t="shared" si="35"/>
        <v>1.0906707059957799</v>
      </c>
      <c r="AL8" s="20">
        <f t="shared" si="4"/>
        <v>6.5169446661128978</v>
      </c>
      <c r="AM8" s="59">
        <f t="shared" si="5"/>
        <v>269.29472244389069</v>
      </c>
      <c r="AN8" s="59">
        <f ca="1">AVERAGE(OFFSET($AM$3,0,0,'Données projet'!$E$10+1,1))-AVERAGE(OFFSET($H$3,0,0,'Données projet'!$E$10+1,1))</f>
        <v>238.56893947183841</v>
      </c>
      <c r="AO8" s="59">
        <f t="shared" si="36"/>
        <v>292.57799203101769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2.3033764090157529</v>
      </c>
      <c r="BF8" s="13">
        <f t="shared" si="37"/>
        <v>0.96324708482559218</v>
      </c>
      <c r="BG8" s="20">
        <f t="shared" si="7"/>
        <v>5.6893692517736758</v>
      </c>
      <c r="BH8" s="59">
        <f t="shared" si="8"/>
        <v>268.46714702955143</v>
      </c>
      <c r="BI8" s="59">
        <f ca="1">AVERAGE(OFFSET($BH$3,0,0,'Données projet'!$E$11+1,1))-AVERAGE(OFFSET($H$3,0,0,'Données projet'!$E$11+1,1))</f>
        <v>277.20405719540543</v>
      </c>
      <c r="BJ8" s="59">
        <f t="shared" si="38"/>
        <v>231.36959598460686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2.6666666666666665</v>
      </c>
      <c r="BY8" s="12">
        <f>IF('Données projet'!$A$114&gt;35,BY7+BX8-CG7,IF(A8&lt;'Données projet'!$A$114,$BV$205^A8,IF(A8='Données projet'!$A$114,'Données projet'!$B$114,BY7+BX8-CG7)))</f>
        <v>3.4199518933533928</v>
      </c>
      <c r="BZ8" s="13">
        <f>BY8*VLOOKUP('Données projet'!$B$12,Paramètres!$A$1:$I$89,3,0)*VLOOKUP('Données projet'!$B$12,Paramètres!$A$1:$I$89,5,0)</f>
        <v>2.6675624768156463</v>
      </c>
      <c r="CA8" s="13">
        <f t="shared" si="39"/>
        <v>1.0966471776471767</v>
      </c>
      <c r="CB8" s="20">
        <f t="shared" si="10"/>
        <v>6.5559984815227494</v>
      </c>
      <c r="CC8" s="59">
        <f t="shared" si="11"/>
        <v>269.33377625930052</v>
      </c>
      <c r="CD8" s="59">
        <f ca="1">AVERAGE(OFFSET($CC$3,0,0,'Données projet'!$E$12+1,1))-AVERAGE(OFFSET($H$3,0,0,'Données projet'!$E$12+1,1))</f>
        <v>288.82868507674738</v>
      </c>
      <c r="CE8" s="59">
        <f t="shared" si="40"/>
        <v>283.48738729114024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3.3454643638562565</v>
      </c>
      <c r="O9" s="13">
        <f>N9*VLOOKUP('Données projet'!$B$9,Paramètres!$A$1:$I$89,3,0)*VLOOKUP('Données projet'!$B$9,Paramètres!$A$1:$I$89,5,0)</f>
        <v>2.4528944715794072</v>
      </c>
      <c r="P9" s="13">
        <f t="shared" si="33"/>
        <v>1.0182919475019252</v>
      </c>
      <c r="Q9" s="20">
        <f t="shared" si="2"/>
        <v>6.045649679899987</v>
      </c>
      <c r="R9" s="59">
        <f t="shared" si="0"/>
        <v>270.04564967990001</v>
      </c>
      <c r="S9" s="59">
        <f ca="1">AVERAGE(OFFSET($R$3,0,0,'Données projet'!$E$9+1,1))-AVERAGE(OFFSET($H$3,0,0,'Données projet'!$E$9+1,1))</f>
        <v>193.60868637458515</v>
      </c>
      <c r="T9" s="59">
        <f t="shared" si="34"/>
        <v>272.97841038165217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2.4666666666666668</v>
      </c>
      <c r="AI9" s="13">
        <f>IF('Données projet'!$A$62&gt;35,AI8+AH9-AQ8,IF(A9&lt;'Données projet'!$A$62,$AF$205^A9,IF(A9='Données projet'!$A$62,'Données projet'!$B$62,AI8+AH9-AQ8)))</f>
        <v>4.2391685997738069</v>
      </c>
      <c r="AJ9" s="13">
        <f>AI9*VLOOKUP('Données projet'!$B$10,Paramètres!$A$1:$I$89,3,0)*VLOOKUP('Données projet'!$B$10,Paramètres!$A$1:$I$89,5,0)</f>
        <v>3.3726825379800407</v>
      </c>
      <c r="AK9" s="13">
        <f t="shared" si="35"/>
        <v>1.3491840083541735</v>
      </c>
      <c r="AL9" s="20">
        <f t="shared" si="4"/>
        <v>8.2239175681987557</v>
      </c>
      <c r="AM9" s="59">
        <f t="shared" si="5"/>
        <v>272.22391756819877</v>
      </c>
      <c r="AN9" s="59">
        <f ca="1">AVERAGE(OFFSET($AM$3,0,0,'Données projet'!$E$10+1,1))-AVERAGE(OFFSET($H$3,0,0,'Données projet'!$E$10+1,1))</f>
        <v>238.56893947183841</v>
      </c>
      <c r="AO9" s="59">
        <f t="shared" si="36"/>
        <v>292.57799203101769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2.7766898902321886</v>
      </c>
      <c r="BF9" s="13">
        <f t="shared" si="37"/>
        <v>1.1361949561012803</v>
      </c>
      <c r="BG9" s="20">
        <f t="shared" si="7"/>
        <v>6.8149411073641248</v>
      </c>
      <c r="BH9" s="59">
        <f t="shared" si="8"/>
        <v>270.81494110736412</v>
      </c>
      <c r="BI9" s="59">
        <f ca="1">AVERAGE(OFFSET($BH$3,0,0,'Données projet'!$E$11+1,1))-AVERAGE(OFFSET($H$3,0,0,'Données projet'!$E$11+1,1))</f>
        <v>277.20405719540543</v>
      </c>
      <c r="BJ9" s="59">
        <f t="shared" si="38"/>
        <v>231.36959598460686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2.6666666666666665</v>
      </c>
      <c r="BY9" s="12">
        <f>IF('Données projet'!$A$114&gt;35,BY8+BX9-CG8,IF(A9&lt;'Données projet'!$A$114,$BV$205^A9,IF(A9='Données projet'!$A$114,'Données projet'!$B$114,BY8+BX9-CG8)))</f>
        <v>4.3734482957731098</v>
      </c>
      <c r="BZ9" s="13">
        <f>BY9*VLOOKUP('Données projet'!$B$12,Paramètres!$A$1:$I$89,3,0)*VLOOKUP('Données projet'!$B$12,Paramètres!$A$1:$I$89,5,0)</f>
        <v>3.4112896707030256</v>
      </c>
      <c r="CA9" s="13">
        <f t="shared" si="39"/>
        <v>1.3628213830192535</v>
      </c>
      <c r="CB9" s="20">
        <f t="shared" si="10"/>
        <v>8.3149100852329703</v>
      </c>
      <c r="CC9" s="59">
        <f t="shared" si="11"/>
        <v>272.31491008523295</v>
      </c>
      <c r="CD9" s="59">
        <f ca="1">AVERAGE(OFFSET($CC$3,0,0,'Données projet'!$E$12+1,1))-AVERAGE(OFFSET($H$3,0,0,'Données projet'!$E$12+1,1))</f>
        <v>288.82868507674738</v>
      </c>
      <c r="CE9" s="59">
        <f t="shared" si="40"/>
        <v>283.48738729114024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4.091342237960264</v>
      </c>
      <c r="O10" s="13">
        <f>N10*VLOOKUP('Données projet'!$B$9,Paramètres!$A$1:$I$89,3,0)*VLOOKUP('Données projet'!$B$9,Paramètres!$A$1:$I$89,5,0)</f>
        <v>2.9997721288724652</v>
      </c>
      <c r="P10" s="13">
        <f t="shared" si="33"/>
        <v>1.2164863957544558</v>
      </c>
      <c r="Q10" s="20">
        <f t="shared" si="2"/>
        <v>7.3433169303918868</v>
      </c>
      <c r="R10" s="59">
        <f t="shared" si="0"/>
        <v>272.56553915261412</v>
      </c>
      <c r="S10" s="59">
        <f ca="1">AVERAGE(OFFSET($R$3,0,0,'Données projet'!$E$9+1,1))-AVERAGE(OFFSET($H$3,0,0,'Données projet'!$E$9+1,1))</f>
        <v>193.60868637458515</v>
      </c>
      <c r="T10" s="59">
        <f t="shared" si="34"/>
        <v>272.97841038165217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2.4666666666666668</v>
      </c>
      <c r="AI10" s="13">
        <f>IF('Données projet'!$A$62&gt;35,AI9+AH10-AQ9,IF(A10&lt;'Données projet'!$A$62,$AF$205^A10,IF(A10='Données projet'!$A$62,'Données projet'!$B$62,AI9+AH10-AQ9)))</f>
        <v>5.3929633792034757</v>
      </c>
      <c r="AJ10" s="13">
        <f>AI10*VLOOKUP('Données projet'!$B$10,Paramètres!$A$1:$I$89,3,0)*VLOOKUP('Données projet'!$B$10,Paramètres!$A$1:$I$89,5,0)</f>
        <v>4.2906416644942853</v>
      </c>
      <c r="AK10" s="13">
        <f t="shared" si="35"/>
        <v>1.6689707336887791</v>
      </c>
      <c r="AL10" s="20">
        <f t="shared" si="4"/>
        <v>10.379658260168837</v>
      </c>
      <c r="AM10" s="59">
        <f t="shared" si="5"/>
        <v>275.60188048239104</v>
      </c>
      <c r="AN10" s="59">
        <f ca="1">AVERAGE(OFFSET($AM$3,0,0,'Données projet'!$E$10+1,1))-AVERAGE(OFFSET($H$3,0,0,'Données projet'!$E$10+1,1))</f>
        <v>238.56893947183841</v>
      </c>
      <c r="AO10" s="59">
        <f t="shared" si="36"/>
        <v>292.57799203101769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3.3472630510321921</v>
      </c>
      <c r="BF10" s="13">
        <f t="shared" si="37"/>
        <v>1.34019505338418</v>
      </c>
      <c r="BG10" s="20">
        <f t="shared" si="7"/>
        <v>8.1639895318585136</v>
      </c>
      <c r="BH10" s="59">
        <f t="shared" si="8"/>
        <v>273.38621175408076</v>
      </c>
      <c r="BI10" s="59">
        <f ca="1">AVERAGE(OFFSET($BH$3,0,0,'Données projet'!$E$11+1,1))-AVERAGE(OFFSET($H$3,0,0,'Données projet'!$E$11+1,1))</f>
        <v>277.20405719540543</v>
      </c>
      <c r="BJ10" s="59">
        <f t="shared" si="38"/>
        <v>231.36959598460686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2.6666666666666665</v>
      </c>
      <c r="BY10" s="12">
        <f>IF('Données projet'!$A$114&gt;35,BY9+BX10-CG9,IF(A10&lt;'Données projet'!$A$114,$BV$205^A10,IF(A10='Données projet'!$A$114,'Données projet'!$B$114,BY9+BX10-CG9)))</f>
        <v>5.5927833467405659</v>
      </c>
      <c r="BZ10" s="13">
        <f>BY10*VLOOKUP('Données projet'!$B$12,Paramètres!$A$1:$I$89,3,0)*VLOOKUP('Données projet'!$B$12,Paramètres!$A$1:$I$89,5,0)</f>
        <v>4.3623710104576414</v>
      </c>
      <c r="CA10" s="13">
        <f t="shared" si="39"/>
        <v>1.6936004212396314</v>
      </c>
      <c r="CB10" s="20">
        <f t="shared" si="10"/>
        <v>10.54748357687275</v>
      </c>
      <c r="CC10" s="59">
        <f t="shared" si="11"/>
        <v>275.76970579909499</v>
      </c>
      <c r="CD10" s="59">
        <f ca="1">AVERAGE(OFFSET($CC$3,0,0,'Données projet'!$E$12+1,1))-AVERAGE(OFFSET($H$3,0,0,'Données projet'!$E$12+1,1))</f>
        <v>288.82868507674738</v>
      </c>
      <c r="CE10" s="59">
        <f t="shared" si="40"/>
        <v>283.48738729114024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5.0035150542816931</v>
      </c>
      <c r="O11" s="13">
        <f>N11*VLOOKUP('Données projet'!$B$9,Paramètres!$A$1:$I$89,3,0)*VLOOKUP('Données projet'!$B$9,Paramètres!$A$1:$I$89,5,0)</f>
        <v>3.6685772377993371</v>
      </c>
      <c r="P11" s="13">
        <f t="shared" si="33"/>
        <v>1.4532562637719066</v>
      </c>
      <c r="Q11" s="20">
        <f t="shared" si="2"/>
        <v>8.9205266819032492</v>
      </c>
      <c r="R11" s="59">
        <f t="shared" si="0"/>
        <v>275.36497112634771</v>
      </c>
      <c r="S11" s="59">
        <f ca="1">AVERAGE(OFFSET($R$3,0,0,'Données projet'!$E$9+1,1))-AVERAGE(OFFSET($H$3,0,0,'Données projet'!$E$9+1,1))</f>
        <v>193.60868637458515</v>
      </c>
      <c r="T11" s="59">
        <f t="shared" si="34"/>
        <v>272.97841038165217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2.4666666666666668</v>
      </c>
      <c r="AI11" s="13">
        <f>IF('Données projet'!$A$62&gt;35,AI10+AH11-AQ10,IF(A11&lt;'Données projet'!$A$62,$AF$205^A11,IF(A11='Données projet'!$A$62,'Données projet'!$B$62,AI10+AH11-AQ10)))</f>
        <v>6.8607919984549888</v>
      </c>
      <c r="AJ11" s="13">
        <f>AI11*VLOOKUP('Données projet'!$B$10,Paramètres!$A$1:$I$89,3,0)*VLOOKUP('Données projet'!$B$10,Paramètres!$A$1:$I$89,5,0)</f>
        <v>5.4584461139707896</v>
      </c>
      <c r="AK11" s="13">
        <f t="shared" si="35"/>
        <v>2.0645540509389519</v>
      </c>
      <c r="AL11" s="20">
        <f t="shared" si="4"/>
        <v>13.102558620551131</v>
      </c>
      <c r="AM11" s="59">
        <f t="shared" si="5"/>
        <v>279.54700306499558</v>
      </c>
      <c r="AN11" s="59">
        <f ca="1">AVERAGE(OFFSET($AM$3,0,0,'Données projet'!$E$10+1,1))-AVERAGE(OFFSET($H$3,0,0,'Données projet'!$E$10+1,1))</f>
        <v>238.56893947183841</v>
      </c>
      <c r="AO11" s="59">
        <f t="shared" si="36"/>
        <v>292.57799203101769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4.0350814731667564</v>
      </c>
      <c r="BF11" s="13">
        <f t="shared" si="37"/>
        <v>1.5808227025391921</v>
      </c>
      <c r="BG11" s="20">
        <f t="shared" si="7"/>
        <v>9.7810331060211926</v>
      </c>
      <c r="BH11" s="59">
        <f t="shared" si="8"/>
        <v>276.22547755046565</v>
      </c>
      <c r="BI11" s="59">
        <f ca="1">AVERAGE(OFFSET($BH$3,0,0,'Données projet'!$E$11+1,1))-AVERAGE(OFFSET($H$3,0,0,'Données projet'!$E$11+1,1))</f>
        <v>277.20405719540543</v>
      </c>
      <c r="BJ11" s="59">
        <f t="shared" si="38"/>
        <v>231.36959598460686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2.6666666666666665</v>
      </c>
      <c r="BY11" s="12">
        <f>IF('Données projet'!$A$114&gt;35,BY10+BX11-CG10,IF(A11&lt;'Données projet'!$A$114,$BV$205^A11,IF(A11='Données projet'!$A$114,'Données projet'!$B$114,BY10+BX11-CG10)))</f>
        <v>7.1520739352994367</v>
      </c>
      <c r="BZ11" s="13">
        <f>BY11*VLOOKUP('Données projet'!$B$12,Paramètres!$A$1:$I$89,3,0)*VLOOKUP('Données projet'!$B$12,Paramètres!$A$1:$I$89,5,0)</f>
        <v>5.5786176695335605</v>
      </c>
      <c r="CA11" s="13">
        <f t="shared" si="39"/>
        <v>2.1046649418345189</v>
      </c>
      <c r="CB11" s="20">
        <f t="shared" si="10"/>
        <v>13.381717214799407</v>
      </c>
      <c r="CC11" s="59">
        <f t="shared" si="11"/>
        <v>279.82616165924384</v>
      </c>
      <c r="CD11" s="59">
        <f ca="1">AVERAGE(OFFSET($CC$3,0,0,'Données projet'!$E$12+1,1))-AVERAGE(OFFSET($H$3,0,0,'Données projet'!$E$12+1,1))</f>
        <v>288.82868507674738</v>
      </c>
      <c r="CE11" s="59">
        <f t="shared" si="40"/>
        <v>283.48738729114024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6.1190585979687659</v>
      </c>
      <c r="O12" s="13">
        <f>N12*VLOOKUP('Données projet'!$B$9,Paramètres!$A$1:$I$89,3,0)*VLOOKUP('Données projet'!$B$9,Paramètres!$A$1:$I$89,5,0)</f>
        <v>4.4864937640306986</v>
      </c>
      <c r="P12" s="13">
        <f t="shared" si="33"/>
        <v>1.7361096478867435</v>
      </c>
      <c r="Q12" s="20">
        <f t="shared" si="2"/>
        <v>10.837700942422877</v>
      </c>
      <c r="R12" s="59">
        <f t="shared" si="0"/>
        <v>278.50436760908957</v>
      </c>
      <c r="S12" s="59">
        <f ca="1">AVERAGE(OFFSET($R$3,0,0,'Données projet'!$E$9+1,1))-AVERAGE(OFFSET($H$3,0,0,'Données projet'!$E$9+1,1))</f>
        <v>193.60868637458515</v>
      </c>
      <c r="T12" s="59">
        <f t="shared" si="34"/>
        <v>272.97841038165217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2.4666666666666668</v>
      </c>
      <c r="AI12" s="13">
        <f>IF('Données projet'!$A$62&gt;35,AI11+AH12-AQ11,IF(A12&lt;'Données projet'!$A$62,$AF$205^A12,IF(A12='Données projet'!$A$62,'Données projet'!$B$62,AI11+AH12-AQ11)))</f>
        <v>8.7281265486761299</v>
      </c>
      <c r="AJ12" s="13">
        <f>AI12*VLOOKUP('Données projet'!$B$10,Paramètres!$A$1:$I$89,3,0)*VLOOKUP('Données projet'!$B$10,Paramètres!$A$1:$I$89,5,0)</f>
        <v>6.9440974821267289</v>
      </c>
      <c r="AK12" s="13">
        <f t="shared" si="35"/>
        <v>2.5538994442566798</v>
      </c>
      <c r="AL12" s="20">
        <f t="shared" si="4"/>
        <v>16.542344646784436</v>
      </c>
      <c r="AM12" s="59">
        <f t="shared" si="5"/>
        <v>284.20901131345113</v>
      </c>
      <c r="AN12" s="59">
        <f ca="1">AVERAGE(OFFSET($AM$3,0,0,'Données projet'!$E$10+1,1))-AVERAGE(OFFSET($H$3,0,0,'Données projet'!$E$10+1,1))</f>
        <v>238.56893947183841</v>
      </c>
      <c r="AO12" s="59">
        <f t="shared" si="36"/>
        <v>292.57799203101769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4.8642375119197085</v>
      </c>
      <c r="BF12" s="13">
        <f t="shared" si="37"/>
        <v>1.8646542609995393</v>
      </c>
      <c r="BG12" s="20">
        <f t="shared" si="7"/>
        <v>11.719486504501022</v>
      </c>
      <c r="BH12" s="59">
        <f t="shared" si="8"/>
        <v>279.38615317116773</v>
      </c>
      <c r="BI12" s="59">
        <f ca="1">AVERAGE(OFFSET($BH$3,0,0,'Données projet'!$E$11+1,1))-AVERAGE(OFFSET($H$3,0,0,'Données projet'!$E$11+1,1))</f>
        <v>277.20405719540543</v>
      </c>
      <c r="BJ12" s="59">
        <f t="shared" si="38"/>
        <v>231.36959598460686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2.6666666666666665</v>
      </c>
      <c r="BY12" s="12">
        <f>IF('Données projet'!$A$114&gt;35,BY11+BX12-CG11,IF(A12&lt;'Données projet'!$A$114,$BV$205^A12,IF(A12='Données projet'!$A$114,'Données projet'!$B$114,BY11+BX12-CG11)))</f>
        <v>9.1461010385465205</v>
      </c>
      <c r="BZ12" s="13">
        <f>BY12*VLOOKUP('Données projet'!$B$12,Paramètres!$A$1:$I$89,3,0)*VLOOKUP('Données projet'!$B$12,Paramètres!$A$1:$I$89,5,0)</f>
        <v>7.1339588100662858</v>
      </c>
      <c r="CA12" s="13">
        <f t="shared" si="39"/>
        <v>2.6155015444227643</v>
      </c>
      <c r="CB12" s="20">
        <f t="shared" si="10"/>
        <v>16.980310117401761</v>
      </c>
      <c r="CC12" s="59">
        <f t="shared" si="11"/>
        <v>284.64697678406844</v>
      </c>
      <c r="CD12" s="59">
        <f ca="1">AVERAGE(OFFSET($CC$3,0,0,'Données projet'!$E$12+1,1))-AVERAGE(OFFSET($H$3,0,0,'Données projet'!$E$12+1,1))</f>
        <v>288.82868507674738</v>
      </c>
      <c r="CE12" s="59">
        <f t="shared" si="40"/>
        <v>283.48738729114024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7.4833147735478933</v>
      </c>
      <c r="O13" s="13">
        <f>N13*VLOOKUP('Données projet'!$B$9,Paramètres!$A$1:$I$89,3,0)*VLOOKUP('Données projet'!$B$9,Paramètres!$A$1:$I$89,5,0)</f>
        <v>5.4867663919653147</v>
      </c>
      <c r="P13" s="13">
        <f t="shared" si="33"/>
        <v>2.074015976826026</v>
      </c>
      <c r="Q13" s="20">
        <f t="shared" si="2"/>
        <v>13.168362625644917</v>
      </c>
      <c r="R13" s="59">
        <f t="shared" si="0"/>
        <v>282.05725151453379</v>
      </c>
      <c r="S13" s="59">
        <f ca="1">AVERAGE(OFFSET($R$3,0,0,'Données projet'!$E$9+1,1))-AVERAGE(OFFSET($H$3,0,0,'Données projet'!$E$9+1,1))</f>
        <v>193.60868637458515</v>
      </c>
      <c r="T13" s="59">
        <f t="shared" si="34"/>
        <v>272.97841038165217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2.4666666666666668</v>
      </c>
      <c r="AI13" s="13">
        <f>IF('Données projet'!$A$62&gt;35,AI12+AH13-AQ12,IF(A13&lt;'Données projet'!$A$62,$AF$205^A13,IF(A13='Données projet'!$A$62,'Données projet'!$B$62,AI12+AH13-AQ12)))</f>
        <v>11.103702468586782</v>
      </c>
      <c r="AJ13" s="13">
        <f>AI13*VLOOKUP('Données projet'!$B$10,Paramètres!$A$1:$I$89,3,0)*VLOOKUP('Données projet'!$B$10,Paramètres!$A$1:$I$89,5,0)</f>
        <v>8.8341056840076444</v>
      </c>
      <c r="AK13" s="13">
        <f t="shared" si="35"/>
        <v>3.1592306185484516</v>
      </c>
      <c r="AL13" s="20">
        <f t="shared" si="4"/>
        <v>20.888394060285197</v>
      </c>
      <c r="AM13" s="59">
        <f t="shared" si="5"/>
        <v>289.77728294917404</v>
      </c>
      <c r="AN13" s="59">
        <f ca="1">AVERAGE(OFFSET($AM$3,0,0,'Données projet'!$E$10+1,1))-AVERAGE(OFFSET($H$3,0,0,'Données projet'!$E$10+1,1))</f>
        <v>238.56893947183841</v>
      </c>
      <c r="AO13" s="59">
        <f t="shared" si="36"/>
        <v>292.57799203101769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5.8637741839194364</v>
      </c>
      <c r="BF13" s="13">
        <f t="shared" si="37"/>
        <v>2.1994468497187687</v>
      </c>
      <c r="BG13" s="20">
        <f t="shared" si="7"/>
        <v>14.043443300253207</v>
      </c>
      <c r="BH13" s="59">
        <f t="shared" si="8"/>
        <v>282.93233218914207</v>
      </c>
      <c r="BI13" s="59">
        <f ca="1">AVERAGE(OFFSET($BH$3,0,0,'Données projet'!$E$11+1,1))-AVERAGE(OFFSET($H$3,0,0,'Données projet'!$E$11+1,1))</f>
        <v>277.20405719540543</v>
      </c>
      <c r="BJ13" s="59">
        <f t="shared" si="38"/>
        <v>231.36959598460686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2.6666666666666665</v>
      </c>
      <c r="BY13" s="12">
        <f>IF('Données projet'!$A$114&gt;35,BY12+BX13-CG12,IF(A13&lt;'Données projet'!$A$114,$BV$205^A13,IF(A13='Données projet'!$A$114,'Données projet'!$B$114,BY12+BX13-CG12)))</f>
        <v>11.696070952851455</v>
      </c>
      <c r="BZ13" s="13">
        <f>BY13*VLOOKUP('Données projet'!$B$12,Paramètres!$A$1:$I$89,3,0)*VLOOKUP('Données projet'!$B$12,Paramètres!$A$1:$I$89,5,0)</f>
        <v>9.1229353432241354</v>
      </c>
      <c r="CA13" s="13">
        <f t="shared" si="39"/>
        <v>3.2503265450485803</v>
      </c>
      <c r="CB13" s="20">
        <f t="shared" si="10"/>
        <v>21.550097788741649</v>
      </c>
      <c r="CC13" s="59">
        <f t="shared" si="11"/>
        <v>290.43898667763051</v>
      </c>
      <c r="CD13" s="59">
        <f ca="1">AVERAGE(OFFSET($CC$3,0,0,'Données projet'!$E$12+1,1))-AVERAGE(OFFSET($H$3,0,0,'Données projet'!$E$12+1,1))</f>
        <v>288.82868507674738</v>
      </c>
      <c r="CE13" s="59">
        <f t="shared" si="40"/>
        <v>283.48738729114024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9.1517345525322273</v>
      </c>
      <c r="O14" s="13">
        <f>N14*VLOOKUP('Données projet'!$B$9,Paramètres!$A$1:$I$89,3,0)*VLOOKUP('Données projet'!$B$9,Paramètres!$A$1:$I$89,5,0)</f>
        <v>6.7100517739166285</v>
      </c>
      <c r="P14" s="13">
        <f t="shared" si="33"/>
        <v>2.4776904369868635</v>
      </c>
      <c r="Q14" s="20">
        <f t="shared" si="2"/>
        <v>16.001984350656915</v>
      </c>
      <c r="R14" s="59">
        <f t="shared" si="0"/>
        <v>286.11309546176807</v>
      </c>
      <c r="S14" s="59">
        <f ca="1">AVERAGE(OFFSET($R$3,0,0,'Données projet'!$E$9+1,1))-AVERAGE(OFFSET($H$3,0,0,'Données projet'!$E$9+1,1))</f>
        <v>193.60868637458515</v>
      </c>
      <c r="T14" s="59">
        <f t="shared" si="34"/>
        <v>272.97841038165217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2.4666666666666668</v>
      </c>
      <c r="AI14" s="13">
        <f>IF('Données projet'!$A$62&gt;35,AI13+AH14-AQ13,IF(A14&lt;'Données projet'!$A$62,$AF$205^A14,IF(A14='Données projet'!$A$62,'Données projet'!$B$62,AI13+AH14-AQ13)))</f>
        <v>14.125850240977657</v>
      </c>
      <c r="AJ14" s="13">
        <f>AI14*VLOOKUP('Données projet'!$B$10,Paramètres!$A$1:$I$89,3,0)*VLOOKUP('Données projet'!$B$10,Paramètres!$A$1:$I$89,5,0)</f>
        <v>11.238526451721825</v>
      </c>
      <c r="AK14" s="13">
        <f t="shared" si="35"/>
        <v>3.9080387928425129</v>
      </c>
      <c r="AL14" s="20">
        <f t="shared" si="4"/>
        <v>26.380267800949554</v>
      </c>
      <c r="AM14" s="59">
        <f t="shared" si="5"/>
        <v>296.49137891206067</v>
      </c>
      <c r="AN14" s="59">
        <f ca="1">AVERAGE(OFFSET($AM$3,0,0,'Données projet'!$E$10+1,1))-AVERAGE(OFFSET($H$3,0,0,'Données projet'!$E$10+1,1))</f>
        <v>238.56893947183841</v>
      </c>
      <c r="AO14" s="59">
        <f t="shared" si="36"/>
        <v>292.57799203101769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7.0687024627689707</v>
      </c>
      <c r="BF14" s="13">
        <f t="shared" si="37"/>
        <v>2.5943503554083325</v>
      </c>
      <c r="BG14" s="20">
        <f t="shared" si="7"/>
        <v>16.829816991658799</v>
      </c>
      <c r="BH14" s="59">
        <f t="shared" si="8"/>
        <v>286.94092810276993</v>
      </c>
      <c r="BI14" s="59">
        <f ca="1">AVERAGE(OFFSET($BH$3,0,0,'Données projet'!$E$11+1,1))-AVERAGE(OFFSET($H$3,0,0,'Données projet'!$E$11+1,1))</f>
        <v>277.20405719540543</v>
      </c>
      <c r="BJ14" s="59">
        <f t="shared" si="38"/>
        <v>231.36959598460686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2.6666666666666665</v>
      </c>
      <c r="BY14" s="12">
        <f>IF('Données projet'!$A$114&gt;35,BY13+BX14-CG13,IF(A14&lt;'Données projet'!$A$114,$BV$205^A14,IF(A14='Données projet'!$A$114,'Données projet'!$B$114,BY13+BX14-CG13)))</f>
        <v>14.956982779612416</v>
      </c>
      <c r="BZ14" s="13">
        <f>BY14*VLOOKUP('Données projet'!$B$12,Paramètres!$A$1:$I$89,3,0)*VLOOKUP('Données projet'!$B$12,Paramètres!$A$1:$I$89,5,0)</f>
        <v>11.666446568097685</v>
      </c>
      <c r="CA14" s="13">
        <f t="shared" si="39"/>
        <v>4.0392339557111736</v>
      </c>
      <c r="CB14" s="20">
        <f t="shared" si="10"/>
        <v>27.354060245633761</v>
      </c>
      <c r="CC14" s="59">
        <f t="shared" si="11"/>
        <v>297.46517135674492</v>
      </c>
      <c r="CD14" s="59">
        <f ca="1">AVERAGE(OFFSET($CC$3,0,0,'Données projet'!$E$12+1,1))-AVERAGE(OFFSET($H$3,0,0,'Données projet'!$E$12+1,1))</f>
        <v>288.82868507674738</v>
      </c>
      <c r="CE14" s="59">
        <f t="shared" si="40"/>
        <v>283.48738729114024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11.19213180983215</v>
      </c>
      <c r="O15" s="13">
        <f>N15*VLOOKUP('Données projet'!$B$9,Paramètres!$A$1:$I$89,3,0)*VLOOKUP('Données projet'!$B$9,Paramètres!$A$1:$I$89,5,0)</f>
        <v>8.2060710429689312</v>
      </c>
      <c r="P15" s="13">
        <f t="shared" si="33"/>
        <v>2.9599337566005186</v>
      </c>
      <c r="Q15" s="20">
        <f t="shared" si="2"/>
        <v>19.447458359250124</v>
      </c>
      <c r="R15" s="59">
        <f t="shared" si="0"/>
        <v>290.78079169258342</v>
      </c>
      <c r="S15" s="59">
        <f ca="1">AVERAGE(OFFSET($R$3,0,0,'Données projet'!$E$9+1,1))-AVERAGE(OFFSET($H$3,0,0,'Données projet'!$E$9+1,1))</f>
        <v>193.60868637458515</v>
      </c>
      <c r="T15" s="59">
        <f t="shared" si="34"/>
        <v>272.97841038165217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2.4666666666666668</v>
      </c>
      <c r="AI15" s="13">
        <f>IF('Données projet'!$A$62&gt;35,AI14+AH15-AQ14,IF(A15&lt;'Données projet'!$A$62,$AF$205^A15,IF(A15='Données projet'!$A$62,'Données projet'!$B$62,AI14+AH15-AQ14)))</f>
        <v>17.970550417308221</v>
      </c>
      <c r="AJ15" s="13">
        <f>AI15*VLOOKUP('Données projet'!$B$10,Paramètres!$A$1:$I$89,3,0)*VLOOKUP('Données projet'!$B$10,Paramètres!$A$1:$I$89,5,0)</f>
        <v>14.297369912010421</v>
      </c>
      <c r="AK15" s="13">
        <f t="shared" si="35"/>
        <v>4.8343312187127445</v>
      </c>
      <c r="AL15" s="20">
        <f t="shared" si="4"/>
        <v>33.321046136009507</v>
      </c>
      <c r="AM15" s="59">
        <f t="shared" si="5"/>
        <v>304.65437946934281</v>
      </c>
      <c r="AN15" s="59">
        <f ca="1">AVERAGE(OFFSET($AM$3,0,0,'Données projet'!$E$10+1,1))-AVERAGE(OFFSET($H$3,0,0,'Données projet'!$E$10+1,1))</f>
        <v>238.56893947183841</v>
      </c>
      <c r="AO15" s="59">
        <f t="shared" si="36"/>
        <v>292.57799203101769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8.521227615514638</v>
      </c>
      <c r="BF15" s="13">
        <f t="shared" si="37"/>
        <v>3.0601574970852128</v>
      </c>
      <c r="BG15" s="20">
        <f t="shared" si="7"/>
        <v>20.170912404444739</v>
      </c>
      <c r="BH15" s="59">
        <f t="shared" si="8"/>
        <v>291.50424573777804</v>
      </c>
      <c r="BI15" s="59">
        <f ca="1">AVERAGE(OFFSET($BH$3,0,0,'Données projet'!$E$11+1,1))-AVERAGE(OFFSET($H$3,0,0,'Données projet'!$E$11+1,1))</f>
        <v>277.20405719540543</v>
      </c>
      <c r="BJ15" s="59">
        <f t="shared" si="38"/>
        <v>231.36959598460686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2.6666666666666665</v>
      </c>
      <c r="BY15" s="12">
        <f>IF('Données projet'!$A$114&gt;35,BY14+BX15-CG14,IF(A15&lt;'Données projet'!$A$114,$BV$205^A15,IF(A15='Données projet'!$A$114,'Données projet'!$B$114,BY14+BX15-CG14)))</f>
        <v>19.127049995800721</v>
      </c>
      <c r="BZ15" s="13">
        <f>BY15*VLOOKUP('Données projet'!$B$12,Paramètres!$A$1:$I$89,3,0)*VLOOKUP('Données projet'!$B$12,Paramètres!$A$1:$I$89,5,0)</f>
        <v>14.919098996724562</v>
      </c>
      <c r="CA15" s="13">
        <f t="shared" si="39"/>
        <v>5.019622097301081</v>
      </c>
      <c r="CB15" s="20">
        <f t="shared" si="10"/>
        <v>34.726605905427995</v>
      </c>
      <c r="CC15" s="59">
        <f t="shared" si="11"/>
        <v>306.05993923876133</v>
      </c>
      <c r="CD15" s="59">
        <f ca="1">AVERAGE(OFFSET($CC$3,0,0,'Données projet'!$E$12+1,1))-AVERAGE(OFFSET($H$3,0,0,'Données projet'!$E$12+1,1))</f>
        <v>288.82868507674738</v>
      </c>
      <c r="CE15" s="59">
        <f t="shared" si="40"/>
        <v>283.48738729114024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13.687439657435972</v>
      </c>
      <c r="O16" s="13">
        <f>N16*VLOOKUP('Données projet'!$B$9,Paramètres!$A$1:$I$89,3,0)*VLOOKUP('Données projet'!$B$9,Paramètres!$A$1:$I$89,5,0)</f>
        <v>10.035630756832054</v>
      </c>
      <c r="P16" s="13">
        <f t="shared" si="33"/>
        <v>3.5360381235187024</v>
      </c>
      <c r="Q16" s="20">
        <f t="shared" si="2"/>
        <v>23.637323299944232</v>
      </c>
      <c r="R16" s="59">
        <f t="shared" si="0"/>
        <v>296.19287885549977</v>
      </c>
      <c r="S16" s="59">
        <f ca="1">AVERAGE(OFFSET($R$3,0,0,'Données projet'!$E$9+1,1))-AVERAGE(OFFSET($H$3,0,0,'Données projet'!$E$9+1,1))</f>
        <v>193.60868637458515</v>
      </c>
      <c r="T16" s="59">
        <f t="shared" si="34"/>
        <v>272.97841038165217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2.4666666666666668</v>
      </c>
      <c r="AI16" s="13">
        <f>IF('Données projet'!$A$62&gt;35,AI15+AH16-AQ15,IF(A16&lt;'Données projet'!$A$62,$AF$205^A16,IF(A16='Données projet'!$A$62,'Données projet'!$B$62,AI15+AH16-AQ15)))</f>
        <v>22.86168101684942</v>
      </c>
      <c r="AJ16" s="13">
        <f>AI16*VLOOKUP('Données projet'!$B$10,Paramètres!$A$1:$I$89,3,0)*VLOOKUP('Données projet'!$B$10,Paramètres!$A$1:$I$89,5,0)</f>
        <v>18.188753417005401</v>
      </c>
      <c r="AK16" s="13">
        <f t="shared" si="35"/>
        <v>5.9801756254374139</v>
      </c>
      <c r="AL16" s="20">
        <f t="shared" si="4"/>
        <v>42.094218082254564</v>
      </c>
      <c r="AM16" s="59">
        <f t="shared" si="5"/>
        <v>314.64977363781009</v>
      </c>
      <c r="AN16" s="59">
        <f ca="1">AVERAGE(OFFSET($AM$3,0,0,'Données projet'!$E$10+1,1))-AVERAGE(OFFSET($H$3,0,0,'Données projet'!$E$10+1,1))</f>
        <v>238.56893947183841</v>
      </c>
      <c r="AO16" s="59">
        <f t="shared" si="36"/>
        <v>292.57799203101769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10.272227535089344</v>
      </c>
      <c r="BF16" s="13">
        <f t="shared" si="37"/>
        <v>3.6095987912522753</v>
      </c>
      <c r="BG16" s="20">
        <f t="shared" si="7"/>
        <v>24.177514185044988</v>
      </c>
      <c r="BH16" s="59">
        <f t="shared" si="8"/>
        <v>296.73306974060051</v>
      </c>
      <c r="BI16" s="59">
        <f ca="1">AVERAGE(OFFSET($BH$3,0,0,'Données projet'!$E$11+1,1))-AVERAGE(OFFSET($H$3,0,0,'Données projet'!$E$11+1,1))</f>
        <v>277.20405719540543</v>
      </c>
      <c r="BJ16" s="59">
        <f t="shared" si="38"/>
        <v>231.36959598460686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2.6666666666666665</v>
      </c>
      <c r="BY16" s="12">
        <f>IF('Données projet'!$A$114&gt;35,BY15+BX16-CG15,IF(A16&lt;'Données projet'!$A$114,$BV$205^A16,IF(A16='Données projet'!$A$114,'Données projet'!$B$114,BY15+BX16-CG15)))</f>
        <v>24.459748796430759</v>
      </c>
      <c r="BZ16" s="13">
        <f>BY16*VLOOKUP('Données projet'!$B$12,Paramètres!$A$1:$I$89,3,0)*VLOOKUP('Données projet'!$B$12,Paramètres!$A$1:$I$89,5,0)</f>
        <v>19.078604061215994</v>
      </c>
      <c r="CA16" s="13">
        <f t="shared" si="39"/>
        <v>6.2379664748280286</v>
      </c>
      <c r="CB16" s="20">
        <f t="shared" si="10"/>
        <v>44.093027016943331</v>
      </c>
      <c r="CC16" s="59">
        <f t="shared" si="11"/>
        <v>316.64858257249887</v>
      </c>
      <c r="CD16" s="59">
        <f ca="1">AVERAGE(OFFSET($CC$3,0,0,'Données projet'!$E$12+1,1))-AVERAGE(OFFSET($H$3,0,0,'Données projet'!$E$12+1,1))</f>
        <v>288.82868507674738</v>
      </c>
      <c r="CE16" s="59">
        <f t="shared" si="40"/>
        <v>283.48738729114024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16.739081308117708</v>
      </c>
      <c r="O17" s="13">
        <f>N17*VLOOKUP('Données projet'!$B$9,Paramètres!$A$1:$I$89,3,0)*VLOOKUP('Données projet'!$B$9,Paramètres!$A$1:$I$89,5,0)</f>
        <v>12.273094415111903</v>
      </c>
      <c r="P17" s="13">
        <f t="shared" si="33"/>
        <v>4.2242721084873178</v>
      </c>
      <c r="Q17" s="20">
        <f t="shared" si="2"/>
        <v>28.732913361935303</v>
      </c>
      <c r="R17" s="59">
        <f t="shared" si="0"/>
        <v>302.51069113971306</v>
      </c>
      <c r="S17" s="59">
        <f ca="1">AVERAGE(OFFSET($R$3,0,0,'Données projet'!$E$9+1,1))-AVERAGE(OFFSET($H$3,0,0,'Données projet'!$E$9+1,1))</f>
        <v>193.60868637458515</v>
      </c>
      <c r="T17" s="59">
        <f t="shared" si="34"/>
        <v>272.97841038165217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2.4666666666666668</v>
      </c>
      <c r="AI17" s="13">
        <f>IF('Données projet'!$A$62&gt;35,AI16+AH17-AQ16,IF(A17&lt;'Données projet'!$A$62,$AF$205^A17,IF(A17='Données projet'!$A$62,'Données projet'!$B$62,AI16+AH17-AQ16)))</f>
        <v>29.084054009429774</v>
      </c>
      <c r="AJ17" s="13">
        <f>AI17*VLOOKUP('Données projet'!$B$10,Paramètres!$A$1:$I$89,3,0)*VLOOKUP('Données projet'!$B$10,Paramètres!$A$1:$I$89,5,0)</f>
        <v>23.13927336990233</v>
      </c>
      <c r="AK17" s="13">
        <f t="shared" si="35"/>
        <v>7.3976107331343286</v>
      </c>
      <c r="AL17" s="20">
        <f t="shared" si="4"/>
        <v>53.185073146122171</v>
      </c>
      <c r="AM17" s="59">
        <f t="shared" si="5"/>
        <v>326.96285092389996</v>
      </c>
      <c r="AN17" s="59">
        <f ca="1">AVERAGE(OFFSET($AM$3,0,0,'Données projet'!$E$10+1,1))-AVERAGE(OFFSET($H$3,0,0,'Données projet'!$E$10+1,1))</f>
        <v>238.56893947183841</v>
      </c>
      <c r="AO17" s="59">
        <f t="shared" si="36"/>
        <v>292.57799203101769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12.383034850580612</v>
      </c>
      <c r="BF17" s="13">
        <f t="shared" si="37"/>
        <v>4.2576904771143838</v>
      </c>
      <c r="BG17" s="20">
        <f t="shared" si="7"/>
        <v>28.982596612402116</v>
      </c>
      <c r="BH17" s="59">
        <f t="shared" si="8"/>
        <v>302.76037439017989</v>
      </c>
      <c r="BI17" s="59">
        <f ca="1">AVERAGE(OFFSET($BH$3,0,0,'Données projet'!$E$11+1,1))-AVERAGE(OFFSET($H$3,0,0,'Données projet'!$E$11+1,1))</f>
        <v>277.20405719540543</v>
      </c>
      <c r="BJ17" s="59">
        <f t="shared" si="38"/>
        <v>231.36959598460686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2.6666666666666665</v>
      </c>
      <c r="BY17" s="12">
        <f>IF('Données projet'!$A$114&gt;35,BY16+BX17-CG16,IF(A17&lt;'Données projet'!$A$114,$BV$205^A17,IF(A17='Données projet'!$A$114,'Données projet'!$B$114,BY16+BX17-CG16)))</f>
        <v>31.279225563578599</v>
      </c>
      <c r="BZ17" s="13">
        <f>BY17*VLOOKUP('Données projet'!$B$12,Paramètres!$A$1:$I$89,3,0)*VLOOKUP('Données projet'!$B$12,Paramètres!$A$1:$I$89,5,0)</f>
        <v>24.397795939591308</v>
      </c>
      <c r="CA17" s="13">
        <f t="shared" si="39"/>
        <v>7.75202295846145</v>
      </c>
      <c r="CB17" s="20">
        <f t="shared" si="10"/>
        <v>55.994267914108548</v>
      </c>
      <c r="CC17" s="59">
        <f t="shared" si="11"/>
        <v>329.77204569188632</v>
      </c>
      <c r="CD17" s="59">
        <f ca="1">AVERAGE(OFFSET($CC$3,0,0,'Données projet'!$E$12+1,1))-AVERAGE(OFFSET($H$3,0,0,'Données projet'!$E$12+1,1))</f>
        <v>288.82868507674738</v>
      </c>
      <c r="CE17" s="59">
        <f t="shared" si="40"/>
        <v>283.48738729114024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20.471092479852732</v>
      </c>
      <c r="O18" s="13">
        <f>N18*VLOOKUP('Données projet'!$B$9,Paramètres!$A$1:$I$89,3,0)*VLOOKUP('Données projet'!$B$9,Paramètres!$A$1:$I$89,5,0)</f>
        <v>15.009405006228024</v>
      </c>
      <c r="P18" s="13">
        <f t="shared" si="33"/>
        <v>5.0464599710782805</v>
      </c>
      <c r="Q18" s="20">
        <f t="shared" si="2"/>
        <v>34.930631502141807</v>
      </c>
      <c r="R18" s="59">
        <f t="shared" si="0"/>
        <v>309.93063150214181</v>
      </c>
      <c r="S18" s="59">
        <f ca="1">AVERAGE(OFFSET($R$3,0,0,'Données projet'!$E$9+1,1))-AVERAGE(OFFSET($H$3,0,0,'Données projet'!$E$9+1,1))</f>
        <v>193.60868637458515</v>
      </c>
      <c r="T18" s="59">
        <f t="shared" si="34"/>
        <v>272.97841038165217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37</v>
      </c>
      <c r="AG18" s="12">
        <f>VLOOKUP(A18,'Données projet'!$A$61:$I$81,9,0)</f>
        <v>2.4666666666666668</v>
      </c>
      <c r="AH18" s="12">
        <f t="array" ref="AH18">INDEX(AG:AG,MIN(IF(ISNUMBER(AG18:AG214),ROW(AG18:AG214),"")))</f>
        <v>2.4666666666666668</v>
      </c>
      <c r="AI18" s="13">
        <f>IF('Données projet'!$A$62&gt;35,AI17+AH18-AQ17,IF(A18&lt;'Données projet'!$A$62,$AF$205^A18,IF(A18='Données projet'!$A$62,'Données projet'!$B$62,AI17+AH18-AQ17)))</f>
        <v>37</v>
      </c>
      <c r="AJ18" s="13">
        <f>AI18*VLOOKUP('Données projet'!$B$10,Paramètres!$A$1:$I$89,3,0)*VLOOKUP('Données projet'!$B$10,Paramètres!$A$1:$I$89,5,0)</f>
        <v>29.437200000000004</v>
      </c>
      <c r="AK18" s="13">
        <f t="shared" si="35"/>
        <v>9.1510096001539196</v>
      </c>
      <c r="AL18" s="20">
        <f t="shared" si="4"/>
        <v>67.207798386934755</v>
      </c>
      <c r="AM18" s="59">
        <f t="shared" si="5"/>
        <v>342.20779838693477</v>
      </c>
      <c r="AN18" s="59">
        <f ca="1">AVERAGE(OFFSET($AM$3,0,0,'Données projet'!$E$10+1,1))-AVERAGE(OFFSET($H$3,0,0,'Données projet'!$E$10+1,1))</f>
        <v>238.56893947183841</v>
      </c>
      <c r="AO18" s="59">
        <f t="shared" si="36"/>
        <v>292.57799203101769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15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14.927585237660953</v>
      </c>
      <c r="BF18" s="13">
        <f t="shared" si="37"/>
        <v>5.0221449106318534</v>
      </c>
      <c r="BG18" s="20">
        <f t="shared" si="7"/>
        <v>34.745780008276633</v>
      </c>
      <c r="BH18" s="59">
        <f t="shared" si="8"/>
        <v>309.74578000827665</v>
      </c>
      <c r="BI18" s="59">
        <f ca="1">AVERAGE(OFFSET($BH$3,0,0,'Données projet'!$E$11+1,1))-AVERAGE(OFFSET($H$3,0,0,'Données projet'!$E$11+1,1))</f>
        <v>277.20405719540543</v>
      </c>
      <c r="BJ18" s="59">
        <f t="shared" si="38"/>
        <v>231.36959598460686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40</v>
      </c>
      <c r="BW18" s="12">
        <f>VLOOKUP(A18,'Données projet'!$A$113:$I$133,9,0)</f>
        <v>2.6666666666666665</v>
      </c>
      <c r="BX18" s="12">
        <f t="array" ref="BX18">INDEX(BW:BW,MIN(IF(ISNUMBER(BW18:BW214),ROW(BW18:BW214),"")))</f>
        <v>2.6666666666666665</v>
      </c>
      <c r="BY18" s="12">
        <f>IF('Données projet'!$A$114&gt;35,BY17+BX18-CG17,IF(A18&lt;'Données projet'!$A$114,$BV$205^A18,IF(A18='Données projet'!$A$114,'Données projet'!$B$114,BY17+BX18-CG17)))</f>
        <v>40</v>
      </c>
      <c r="BZ18" s="13">
        <f>BY18*VLOOKUP('Données projet'!$B$12,Paramètres!$A$1:$I$89,3,0)*VLOOKUP('Données projet'!$B$12,Paramètres!$A$1:$I$89,5,0)</f>
        <v>31.200000000000003</v>
      </c>
      <c r="CA18" s="13">
        <f t="shared" si="39"/>
        <v>9.6335657126419925</v>
      </c>
      <c r="CB18" s="20">
        <f t="shared" si="10"/>
        <v>71.118460282851473</v>
      </c>
      <c r="CC18" s="59">
        <f t="shared" si="11"/>
        <v>346.11846028285146</v>
      </c>
      <c r="CD18" s="59">
        <f ca="1">AVERAGE(OFFSET($CC$3,0,0,'Données projet'!$E$12+1,1))-AVERAGE(OFFSET($H$3,0,0,'Données projet'!$E$12+1,1))</f>
        <v>288.82868507674738</v>
      </c>
      <c r="CE18" s="59">
        <f t="shared" si="40"/>
        <v>283.48738729114024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25.035162898423533</v>
      </c>
      <c r="O19" s="13">
        <f>N19*VLOOKUP('Données projet'!$B$9,Paramètres!$A$1:$I$89,3,0)*VLOOKUP('Données projet'!$B$9,Paramètres!$A$1:$I$89,5,0)</f>
        <v>18.355781437124133</v>
      </c>
      <c r="P19" s="13">
        <f t="shared" si="33"/>
        <v>6.0286737183734314</v>
      </c>
      <c r="Q19" s="20">
        <f t="shared" si="2"/>
        <v>42.469592729158251</v>
      </c>
      <c r="R19" s="59">
        <f t="shared" si="0"/>
        <v>318.69181495138048</v>
      </c>
      <c r="S19" s="59">
        <f ca="1">AVERAGE(OFFSET($R$3,0,0,'Données projet'!$E$9+1,1))-AVERAGE(OFFSET($H$3,0,0,'Données projet'!$E$9+1,1))</f>
        <v>193.60868637458515</v>
      </c>
      <c r="T19" s="59">
        <f t="shared" si="34"/>
        <v>272.97841038165217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11.6</v>
      </c>
      <c r="AI19" s="13">
        <f>IF('Données projet'!$A$62&gt;35,AI18+AH19-AQ18,IF(A19&lt;'Données projet'!$A$62,$AF$205^A19,IF(A19='Données projet'!$A$62,'Données projet'!$B$62,AI18+AH19-AQ18)))</f>
        <v>33.6</v>
      </c>
      <c r="AJ19" s="13">
        <f>AI19*VLOOKUP('Données projet'!$B$10,Paramètres!$A$1:$I$89,3,0)*VLOOKUP('Données projet'!$B$10,Paramètres!$A$1:$I$89,5,0)</f>
        <v>26.732160000000004</v>
      </c>
      <c r="AK19" s="13">
        <f t="shared" si="35"/>
        <v>8.4038705306032053</v>
      </c>
      <c r="AL19" s="20">
        <f t="shared" si="4"/>
        <v>61.195253174133917</v>
      </c>
      <c r="AM19" s="59">
        <f t="shared" si="5"/>
        <v>337.41747539635617</v>
      </c>
      <c r="AN19" s="59">
        <f ca="1">AVERAGE(OFFSET($AM$3,0,0,'Données projet'!$E$10+1,1))-AVERAGE(OFFSET($H$3,0,0,'Données projet'!$E$10+1,1))</f>
        <v>238.56893947183841</v>
      </c>
      <c r="AO19" s="59">
        <f t="shared" si="36"/>
        <v>292.57799203101769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17.995007178485412</v>
      </c>
      <c r="BF19" s="13">
        <f t="shared" si="37"/>
        <v>5.9238546434872337</v>
      </c>
      <c r="BG19" s="20">
        <f t="shared" si="7"/>
        <v>41.658684339935689</v>
      </c>
      <c r="BH19" s="59">
        <f t="shared" si="8"/>
        <v>317.88090656215792</v>
      </c>
      <c r="BI19" s="59">
        <f ca="1">AVERAGE(OFFSET($BH$3,0,0,'Données projet'!$E$11+1,1))-AVERAGE(OFFSET($H$3,0,0,'Données projet'!$E$11+1,1))</f>
        <v>277.20405719540543</v>
      </c>
      <c r="BJ19" s="59">
        <f t="shared" si="38"/>
        <v>231.36959598460686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9.6</v>
      </c>
      <c r="BY19" s="12">
        <f>IF('Données projet'!$A$114&gt;35,BY18+BX19-CG18,IF(A19&lt;'Données projet'!$A$114,$BV$205^A19,IF(A19='Données projet'!$A$114,'Données projet'!$B$114,BY18+BX19-CG18)))</f>
        <v>46.6</v>
      </c>
      <c r="BZ19" s="13">
        <f>BY19*VLOOKUP('Données projet'!$B$12,Paramètres!$A$1:$I$89,3,0)*VLOOKUP('Données projet'!$B$12,Paramètres!$A$1:$I$89,5,0)</f>
        <v>36.347999999999999</v>
      </c>
      <c r="CA19" s="13">
        <f t="shared" si="39"/>
        <v>11.025356771848859</v>
      </c>
      <c r="CB19" s="20">
        <f t="shared" si="10"/>
        <v>82.508596377636763</v>
      </c>
      <c r="CC19" s="59">
        <f t="shared" si="11"/>
        <v>358.73081859985899</v>
      </c>
      <c r="CD19" s="59">
        <f ca="1">AVERAGE(OFFSET($CC$3,0,0,'Données projet'!$E$12+1,1))-AVERAGE(OFFSET($H$3,0,0,'Données projet'!$E$12+1,1))</f>
        <v>288.82868507674738</v>
      </c>
      <c r="CE19" s="59">
        <f t="shared" si="40"/>
        <v>283.48738729114024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30.61680181296855</v>
      </c>
      <c r="O20" s="13">
        <f>N20*VLOOKUP('Données projet'!$B$9,Paramètres!$A$1:$I$89,3,0)*VLOOKUP('Données projet'!$B$9,Paramètres!$A$1:$I$89,5,0)</f>
        <v>22.44823908926854</v>
      </c>
      <c r="P20" s="13">
        <f t="shared" si="33"/>
        <v>7.2020598619433178</v>
      </c>
      <c r="Q20" s="20">
        <f t="shared" si="2"/>
        <v>51.640937340027314</v>
      </c>
      <c r="R20" s="59">
        <f t="shared" si="0"/>
        <v>329.08538178447179</v>
      </c>
      <c r="S20" s="59">
        <f ca="1">AVERAGE(OFFSET($R$3,0,0,'Données projet'!$E$9+1,1))-AVERAGE(OFFSET($H$3,0,0,'Données projet'!$E$9+1,1))</f>
        <v>193.60868637458515</v>
      </c>
      <c r="T20" s="59">
        <f t="shared" si="34"/>
        <v>272.97841038165217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11.6</v>
      </c>
      <c r="AI20" s="13">
        <f>IF('Données projet'!$A$62&gt;35,AI19+AH20-AQ19,IF(A20&lt;'Données projet'!$A$62,$AF$205^A20,IF(A20='Données projet'!$A$62,'Données projet'!$B$62,AI19+AH20-AQ19)))</f>
        <v>45.2</v>
      </c>
      <c r="AJ20" s="13">
        <f>AI20*VLOOKUP('Données projet'!$B$10,Paramètres!$A$1:$I$89,3,0)*VLOOKUP('Données projet'!$B$10,Paramètres!$A$1:$I$89,5,0)</f>
        <v>35.961120000000008</v>
      </c>
      <c r="AK20" s="13">
        <f t="shared" si="35"/>
        <v>10.921600552662685</v>
      </c>
      <c r="AL20" s="20">
        <f t="shared" si="4"/>
        <v>81.654071629220851</v>
      </c>
      <c r="AM20" s="59">
        <f t="shared" si="5"/>
        <v>359.09851607366534</v>
      </c>
      <c r="AN20" s="59">
        <f ca="1">AVERAGE(OFFSET($AM$3,0,0,'Données projet'!$E$10+1,1))-AVERAGE(OFFSET($H$3,0,0,'Données projet'!$E$10+1,1))</f>
        <v>238.56893947183841</v>
      </c>
      <c r="AO20" s="59">
        <f t="shared" si="36"/>
        <v>292.57799203101769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21.692743883101215</v>
      </c>
      <c r="BF20" s="13">
        <f t="shared" si="37"/>
        <v>6.98746341685115</v>
      </c>
      <c r="BG20" s="20">
        <f t="shared" si="7"/>
        <v>49.951361047417038</v>
      </c>
      <c r="BH20" s="59">
        <f t="shared" si="8"/>
        <v>327.39580549186149</v>
      </c>
      <c r="BI20" s="59">
        <f ca="1">AVERAGE(OFFSET($BH$3,0,0,'Données projet'!$E$11+1,1))-AVERAGE(OFFSET($H$3,0,0,'Données projet'!$E$11+1,1))</f>
        <v>277.20405719540543</v>
      </c>
      <c r="BJ20" s="59">
        <f t="shared" si="38"/>
        <v>231.36959598460686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9.6</v>
      </c>
      <c r="BY20" s="12">
        <f>IF('Données projet'!$A$114&gt;35,BY19+BX20-CG19,IF(A20&lt;'Données projet'!$A$114,$BV$205^A20,IF(A20='Données projet'!$A$114,'Données projet'!$B$114,BY19+BX20-CG19)))</f>
        <v>56.2</v>
      </c>
      <c r="BZ20" s="13">
        <f>BY20*VLOOKUP('Données projet'!$B$12,Paramètres!$A$1:$I$89,3,0)*VLOOKUP('Données projet'!$B$12,Paramètres!$A$1:$I$89,5,0)</f>
        <v>43.836000000000006</v>
      </c>
      <c r="CA20" s="13">
        <f t="shared" si="39"/>
        <v>13.009897179721728</v>
      </c>
      <c r="CB20" s="20">
        <f t="shared" si="10"/>
        <v>99.006604254682017</v>
      </c>
      <c r="CC20" s="59">
        <f t="shared" si="11"/>
        <v>376.45104869912649</v>
      </c>
      <c r="CD20" s="59">
        <f ca="1">AVERAGE(OFFSET($CC$3,0,0,'Données projet'!$E$12+1,1))-AVERAGE(OFFSET($H$3,0,0,'Données projet'!$E$12+1,1))</f>
        <v>288.82868507674738</v>
      </c>
      <c r="CE20" s="59">
        <f t="shared" si="40"/>
        <v>283.48738729114024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37.442878125375486</v>
      </c>
      <c r="O21" s="13">
        <f>N21*VLOOKUP('Données projet'!$B$9,Paramètres!$A$1:$I$89,3,0)*VLOOKUP('Données projet'!$B$9,Paramètres!$A$1:$I$89,5,0)</f>
        <v>27.453118241525306</v>
      </c>
      <c r="P21" s="13">
        <f t="shared" si="33"/>
        <v>8.6038270900170275</v>
      </c>
      <c r="Q21" s="20">
        <f t="shared" si="2"/>
        <v>62.799179785769574</v>
      </c>
      <c r="R21" s="59">
        <f t="shared" si="0"/>
        <v>341.46584645243627</v>
      </c>
      <c r="S21" s="59">
        <f ca="1">AVERAGE(OFFSET($R$3,0,0,'Données projet'!$E$9+1,1))-AVERAGE(OFFSET($H$3,0,0,'Données projet'!$E$9+1,1))</f>
        <v>193.60868637458515</v>
      </c>
      <c r="T21" s="59">
        <f t="shared" si="34"/>
        <v>272.97841038165217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11.6</v>
      </c>
      <c r="AI21" s="13">
        <f>IF('Données projet'!$A$62&gt;35,AI20+AH21-AQ20,IF(A21&lt;'Données projet'!$A$62,$AF$205^A21,IF(A21='Données projet'!$A$62,'Données projet'!$B$62,AI20+AH21-AQ20)))</f>
        <v>56.800000000000004</v>
      </c>
      <c r="AJ21" s="13">
        <f>AI21*VLOOKUP('Données projet'!$B$10,Paramètres!$A$1:$I$89,3,0)*VLOOKUP('Données projet'!$B$10,Paramètres!$A$1:$I$89,5,0)</f>
        <v>45.190080000000009</v>
      </c>
      <c r="AK21" s="13">
        <f t="shared" si="35"/>
        <v>13.364359727915414</v>
      </c>
      <c r="AL21" s="20">
        <f t="shared" si="4"/>
        <v>101.98231585945268</v>
      </c>
      <c r="AM21" s="59">
        <f t="shared" si="5"/>
        <v>380.64898252611937</v>
      </c>
      <c r="AN21" s="59">
        <f ca="1">AVERAGE(OFFSET($AM$3,0,0,'Données projet'!$E$10+1,1))-AVERAGE(OFFSET($H$3,0,0,'Données projet'!$E$10+1,1))</f>
        <v>238.56893947183841</v>
      </c>
      <c r="AO21" s="59">
        <f t="shared" si="36"/>
        <v>292.57799203101769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26.150316724543362</v>
      </c>
      <c r="BF21" s="13">
        <f t="shared" si="37"/>
        <v>8.2420396752158016</v>
      </c>
      <c r="BG21" s="20">
        <f t="shared" si="7"/>
        <v>59.900020729580547</v>
      </c>
      <c r="BH21" s="59">
        <f t="shared" si="8"/>
        <v>338.56668739624723</v>
      </c>
      <c r="BI21" s="59">
        <f ca="1">AVERAGE(OFFSET($BH$3,0,0,'Données projet'!$E$11+1,1))-AVERAGE(OFFSET($H$3,0,0,'Données projet'!$E$11+1,1))</f>
        <v>277.20405719540543</v>
      </c>
      <c r="BJ21" s="59">
        <f t="shared" si="38"/>
        <v>231.36959598460686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9.6</v>
      </c>
      <c r="BY21" s="12">
        <f>IF('Données projet'!$A$114&gt;35,BY20+BX21-CG20,IF(A21&lt;'Données projet'!$A$114,$BV$205^A21,IF(A21='Données projet'!$A$114,'Données projet'!$B$114,BY20+BX21-CG20)))</f>
        <v>65.8</v>
      </c>
      <c r="BZ21" s="13">
        <f>BY21*VLOOKUP('Données projet'!$B$12,Paramètres!$A$1:$I$89,3,0)*VLOOKUP('Données projet'!$B$12,Paramètres!$A$1:$I$89,5,0)</f>
        <v>51.323999999999998</v>
      </c>
      <c r="CA21" s="13">
        <f t="shared" si="39"/>
        <v>14.95516659950003</v>
      </c>
      <c r="CB21" s="20">
        <f t="shared" si="10"/>
        <v>115.43621516079588</v>
      </c>
      <c r="CC21" s="59">
        <f t="shared" si="11"/>
        <v>394.10288182746257</v>
      </c>
      <c r="CD21" s="59">
        <f ca="1">AVERAGE(OFFSET($CC$3,0,0,'Données projet'!$E$12+1,1))-AVERAGE(OFFSET($H$3,0,0,'Données projet'!$E$12+1,1))</f>
        <v>288.82868507674738</v>
      </c>
      <c r="CE21" s="59">
        <f t="shared" si="40"/>
        <v>283.48738729114024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45.79084160638493</v>
      </c>
      <c r="O22" s="13">
        <f>N22*VLOOKUP('Données projet'!$B$9,Paramètres!$A$1:$I$89,3,0)*VLOOKUP('Données projet'!$B$9,Paramètres!$A$1:$I$89,5,0)</f>
        <v>33.573845065801436</v>
      </c>
      <c r="P22" s="13">
        <f t="shared" si="33"/>
        <v>10.27842617444402</v>
      </c>
      <c r="Q22" s="20">
        <f t="shared" si="2"/>
        <v>76.376039076760833</v>
      </c>
      <c r="R22" s="59">
        <f t="shared" si="0"/>
        <v>356.26492796564969</v>
      </c>
      <c r="S22" s="59">
        <f ca="1">AVERAGE(OFFSET($R$3,0,0,'Données projet'!$E$9+1,1))-AVERAGE(OFFSET($H$3,0,0,'Données projet'!$E$9+1,1))</f>
        <v>193.60868637458515</v>
      </c>
      <c r="T22" s="59">
        <f t="shared" si="34"/>
        <v>272.97841038165217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11.6</v>
      </c>
      <c r="AI22" s="13">
        <f>IF('Données projet'!$A$62&gt;35,AI21+AH22-AQ21,IF(A22&lt;'Données projet'!$A$62,$AF$205^A22,IF(A22='Données projet'!$A$62,'Données projet'!$B$62,AI21+AH22-AQ21)))</f>
        <v>68.400000000000006</v>
      </c>
      <c r="AJ22" s="13">
        <f>AI22*VLOOKUP('Données projet'!$B$10,Paramètres!$A$1:$I$89,3,0)*VLOOKUP('Données projet'!$B$10,Paramètres!$A$1:$I$89,5,0)</f>
        <v>54.419040000000003</v>
      </c>
      <c r="AK22" s="13">
        <f t="shared" si="35"/>
        <v>15.749310274925152</v>
      </c>
      <c r="AL22" s="20">
        <f t="shared" si="4"/>
        <v>122.20987672882796</v>
      </c>
      <c r="AM22" s="59">
        <f t="shared" si="5"/>
        <v>402.09876561771682</v>
      </c>
      <c r="AN22" s="59">
        <f ca="1">AVERAGE(OFFSET($AM$3,0,0,'Données projet'!$E$10+1,1))-AVERAGE(OFFSET($H$3,0,0,'Données projet'!$E$10+1,1))</f>
        <v>238.56893947183841</v>
      </c>
      <c r="AO22" s="59">
        <f t="shared" si="36"/>
        <v>292.57799203101769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31.52386201022027</v>
      </c>
      <c r="BF22" s="13">
        <f t="shared" si="37"/>
        <v>9.7218710074397983</v>
      </c>
      <c r="BG22" s="20">
        <f t="shared" si="7"/>
        <v>71.836318339091292</v>
      </c>
      <c r="BH22" s="59">
        <f t="shared" si="8"/>
        <v>351.72520722798015</v>
      </c>
      <c r="BI22" s="59">
        <f ca="1">AVERAGE(OFFSET($BH$3,0,0,'Données projet'!$E$11+1,1))-AVERAGE(OFFSET($H$3,0,0,'Données projet'!$E$11+1,1))</f>
        <v>277.20405719540543</v>
      </c>
      <c r="BJ22" s="59">
        <f t="shared" si="38"/>
        <v>231.36959598460686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9.6</v>
      </c>
      <c r="BY22" s="12">
        <f>IF('Données projet'!$A$114&gt;35,BY21+BX22-CG21,IF(A22&lt;'Données projet'!$A$114,$BV$205^A22,IF(A22='Données projet'!$A$114,'Données projet'!$B$114,BY21+BX22-CG21)))</f>
        <v>75.399999999999991</v>
      </c>
      <c r="BZ22" s="13">
        <f>BY22*VLOOKUP('Données projet'!$B$12,Paramètres!$A$1:$I$89,3,0)*VLOOKUP('Données projet'!$B$12,Paramètres!$A$1:$I$89,5,0)</f>
        <v>58.811999999999998</v>
      </c>
      <c r="CA22" s="13">
        <f t="shared" si="39"/>
        <v>16.86755663452599</v>
      </c>
      <c r="CB22" s="20">
        <f t="shared" si="10"/>
        <v>131.8085611384661</v>
      </c>
      <c r="CC22" s="59">
        <f t="shared" si="11"/>
        <v>411.69745002735499</v>
      </c>
      <c r="CD22" s="59">
        <f ca="1">AVERAGE(OFFSET($CC$3,0,0,'Données projet'!$E$12+1,1))-AVERAGE(OFFSET($H$3,0,0,'Données projet'!$E$12+1,1))</f>
        <v>288.82868507674738</v>
      </c>
      <c r="CE22" s="59">
        <f t="shared" si="40"/>
        <v>283.48738729114024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56</v>
      </c>
      <c r="L23" s="12">
        <f>VLOOKUP(A23,'Données projet'!$A$35:$I$55,9,0)</f>
        <v>2.8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56</v>
      </c>
      <c r="O23" s="13">
        <f>N23*VLOOKUP('Données projet'!$B$9,Paramètres!$A$1:$I$89,3,0)*VLOOKUP('Données projet'!$B$9,Paramètres!$A$1:$I$89,5,0)</f>
        <v>41.059200000000004</v>
      </c>
      <c r="P23" s="13">
        <f t="shared" si="33"/>
        <v>12.278959527914743</v>
      </c>
      <c r="Q23" s="20">
        <f t="shared" si="2"/>
        <v>92.897294511118176</v>
      </c>
      <c r="R23" s="59">
        <f t="shared" si="0"/>
        <v>374.0084056222293</v>
      </c>
      <c r="S23" s="59">
        <f ca="1">AVERAGE(OFFSET($R$3,0,0,'Données projet'!$E$9+1,1))-AVERAGE(OFFSET($H$3,0,0,'Données projet'!$E$9+1,1))</f>
        <v>193.60868637458515</v>
      </c>
      <c r="T23" s="59">
        <f t="shared" si="34"/>
        <v>272.97841038165217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80</v>
      </c>
      <c r="AG23" s="12">
        <f>VLOOKUP(A23,'Données projet'!$A$61:$I$81,9,0)</f>
        <v>11.6</v>
      </c>
      <c r="AH23" s="12">
        <f t="array" ref="AH23">INDEX(AG:AG,MIN(IF(ISNUMBER(AG23:AG219),ROW(AG23:AG219),"")))</f>
        <v>11.6</v>
      </c>
      <c r="AI23" s="13">
        <f>IF('Données projet'!$A$62&gt;35,AI22+AH23-AQ22,IF(A23&lt;'Données projet'!$A$62,$AF$205^A23,IF(A23='Données projet'!$A$62,'Données projet'!$B$62,AI22+AH23-AQ22)))</f>
        <v>80</v>
      </c>
      <c r="AJ23" s="13">
        <f>AI23*VLOOKUP('Données projet'!$B$10,Paramètres!$A$1:$I$89,3,0)*VLOOKUP('Données projet'!$B$10,Paramètres!$A$1:$I$89,5,0)</f>
        <v>63.647999999999996</v>
      </c>
      <c r="AK23" s="13">
        <f t="shared" si="35"/>
        <v>18.087405707268363</v>
      </c>
      <c r="AL23" s="20">
        <f t="shared" si="4"/>
        <v>142.35583160682572</v>
      </c>
      <c r="AM23" s="59">
        <f t="shared" si="5"/>
        <v>423.46694271793683</v>
      </c>
      <c r="AN23" s="59">
        <f ca="1">AVERAGE(OFFSET($AM$3,0,0,'Données projet'!$E$10+1,1))-AVERAGE(OFFSET($H$3,0,0,'Données projet'!$E$10+1,1))</f>
        <v>238.56893947183841</v>
      </c>
      <c r="AO23" s="59">
        <f t="shared" si="36"/>
        <v>292.57799203101769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38.001600000000003</v>
      </c>
      <c r="BF23" s="13">
        <f t="shared" si="37"/>
        <v>11.467401227090512</v>
      </c>
      <c r="BG23" s="20">
        <f t="shared" si="7"/>
        <v>86.158510470515978</v>
      </c>
      <c r="BH23" s="59">
        <f t="shared" si="8"/>
        <v>367.26962158162712</v>
      </c>
      <c r="BI23" s="59">
        <f ca="1">AVERAGE(OFFSET($BH$3,0,0,'Données projet'!$E$11+1,1))-AVERAGE(OFFSET($H$3,0,0,'Données projet'!$E$11+1,1))</f>
        <v>277.20405719540543</v>
      </c>
      <c r="BJ23" s="59">
        <f t="shared" si="38"/>
        <v>231.36959598460686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85</v>
      </c>
      <c r="BW23" s="12">
        <f>VLOOKUP(A23,'Données projet'!$A$113:$I$133,9,0)</f>
        <v>9.6</v>
      </c>
      <c r="BX23" s="12">
        <f t="array" ref="BX23">INDEX(BW:BW,MIN(IF(ISNUMBER(BW23:BW219),ROW(BW23:BW219),"")))</f>
        <v>9.6</v>
      </c>
      <c r="BY23" s="12">
        <f>IF('Données projet'!$A$114&gt;35,BY22+BX23-CG22,IF(A23&lt;'Données projet'!$A$114,$BV$205^A23,IF(A23='Données projet'!$A$114,'Données projet'!$B$114,BY22+BX23-CG22)))</f>
        <v>84.999999999999986</v>
      </c>
      <c r="BZ23" s="13">
        <f>BY23*VLOOKUP('Données projet'!$B$12,Paramètres!$A$1:$I$89,3,0)*VLOOKUP('Données projet'!$B$12,Paramètres!$A$1:$I$89,5,0)</f>
        <v>66.3</v>
      </c>
      <c r="CA23" s="13">
        <f t="shared" si="39"/>
        <v>18.751733344032118</v>
      </c>
      <c r="CB23" s="20">
        <f t="shared" si="10"/>
        <v>148.13176890752257</v>
      </c>
      <c r="CC23" s="59">
        <f t="shared" si="11"/>
        <v>429.24288001863374</v>
      </c>
      <c r="CD23" s="59">
        <f ca="1">AVERAGE(OFFSET($CC$3,0,0,'Données projet'!$E$12+1,1))-AVERAGE(OFFSET($H$3,0,0,'Données projet'!$E$12+1,1))</f>
        <v>288.82868507674738</v>
      </c>
      <c r="CE23" s="59">
        <f t="shared" si="40"/>
        <v>283.48738729114024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8.6000000000000007E-2</v>
      </c>
      <c r="CJ23" s="16">
        <f>IF(ISNA(VLOOKUP(A23,'Données projet'!$A$113:$I$133,7,0)),0%,VLOOKUP(A23,'Données projet'!$A$113:$I$133,7,0))</f>
        <v>0.8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1.8465744188406115</v>
      </c>
      <c r="CM23" s="21">
        <f>EXP(-LN(2)/2)*CM22+(1-EXP(-LN(2)/2))/(LN(2)/2)*CG23*CJ23*VLOOKUP('Données projet'!$B$12,Paramètres!$A$1:$I$89,3,0)*0.475*44/12</f>
        <v>14.719019867844059</v>
      </c>
      <c r="CN23" s="22">
        <f t="shared" si="12"/>
        <v>16.565594286684671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11</v>
      </c>
      <c r="N24" s="13">
        <f>IF('Données projet'!$A$36&gt;35,N23+M24-V23,IF(A24&lt;'Données projet'!$A$36,$K$205^A24,IF(A24='Données projet'!$A$36,'Données projet'!$B$36,N23+M24-V23)))</f>
        <v>67</v>
      </c>
      <c r="O24" s="13">
        <f>N24*VLOOKUP('Données projet'!$B$9,Paramètres!$A$1:$I$89,3,0)*VLOOKUP('Données projet'!$B$9,Paramètres!$A$1:$I$89,5,0)</f>
        <v>49.124400000000001</v>
      </c>
      <c r="P24" s="13">
        <f t="shared" si="33"/>
        <v>14.38740016036772</v>
      </c>
      <c r="Q24" s="20">
        <f t="shared" si="2"/>
        <v>110.61638527930711</v>
      </c>
      <c r="R24" s="59">
        <f t="shared" si="0"/>
        <v>392.94971861264042</v>
      </c>
      <c r="S24" s="59">
        <f ca="1">AVERAGE(OFFSET($R$3,0,0,'Données projet'!$E$9+1,1))-AVERAGE(OFFSET($H$3,0,0,'Données projet'!$E$9+1,1))</f>
        <v>193.60868637458515</v>
      </c>
      <c r="T24" s="59">
        <f t="shared" si="34"/>
        <v>272.97841038165217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12.6</v>
      </c>
      <c r="AI24" s="13">
        <f>IF('Données projet'!$A$62&gt;35,AI23+AH24-AQ23,IF(A24&lt;'Données projet'!$A$62,$AF$205^A24,IF(A24='Données projet'!$A$62,'Données projet'!$B$62,AI23+AH24-AQ23)))</f>
        <v>64.599999999999994</v>
      </c>
      <c r="AJ24" s="13">
        <f>AI24*VLOOKUP('Données projet'!$B$10,Paramètres!$A$1:$I$89,3,0)*VLOOKUP('Données projet'!$B$10,Paramètres!$A$1:$I$89,5,0)</f>
        <v>51.395759999999996</v>
      </c>
      <c r="AK24" s="13">
        <f t="shared" si="35"/>
        <v>14.973641136922506</v>
      </c>
      <c r="AL24" s="20">
        <f t="shared" si="4"/>
        <v>115.59337364680668</v>
      </c>
      <c r="AM24" s="59">
        <f t="shared" si="5"/>
        <v>397.92670698014001</v>
      </c>
      <c r="AN24" s="59">
        <f ca="1">AVERAGE(OFFSET($AM$3,0,0,'Données projet'!$E$10+1,1))-AVERAGE(OFFSET($H$3,0,0,'Données projet'!$E$10+1,1))</f>
        <v>238.56893947183841</v>
      </c>
      <c r="AO24" s="59">
        <f t="shared" si="36"/>
        <v>292.57799203101769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5.6</v>
      </c>
      <c r="BD24" s="12">
        <f>IF('Données projet'!$A$88&gt;35,BD23+BC24-BL23,IF(A24&lt;'Données projet'!$A$88,$BA$205^A24,IF(A24='Données projet'!$A$88,'Données projet'!$B$88,BD23+BC24-BL23)))</f>
        <v>47.6</v>
      </c>
      <c r="BE24" s="13">
        <f>BD24*VLOOKUP('Données projet'!$B$11,Paramètres!$A$1:$I$89,3,0)*VLOOKUP('Données projet'!$B$11,Paramètres!$A$1:$I$89,5,0)</f>
        <v>43.068480000000001</v>
      </c>
      <c r="BF24" s="13">
        <f t="shared" si="37"/>
        <v>12.808416415102187</v>
      </c>
      <c r="BG24" s="20">
        <f t="shared" si="7"/>
        <v>97.318927922969635</v>
      </c>
      <c r="BH24" s="59">
        <f t="shared" si="8"/>
        <v>379.65226125630295</v>
      </c>
      <c r="BI24" s="59">
        <f ca="1">AVERAGE(OFFSET($BH$3,0,0,'Données projet'!$E$11+1,1))-AVERAGE(OFFSET($H$3,0,0,'Données projet'!$E$11+1,1))</f>
        <v>277.20405719540543</v>
      </c>
      <c r="BJ24" s="59">
        <f t="shared" si="38"/>
        <v>231.36959598460686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10.6</v>
      </c>
      <c r="BY24" s="12">
        <f>IF('Données projet'!$A$114&gt;35,BY23+BX24-CG23,IF(A24&lt;'Données projet'!$A$114,$BV$205^A24,IF(A24='Données projet'!$A$114,'Données projet'!$B$114,BY23+BX24-CG23)))</f>
        <v>70.59999999999998</v>
      </c>
      <c r="BZ24" s="13">
        <f>BY24*VLOOKUP('Données projet'!$B$12,Paramètres!$A$1:$I$89,3,0)*VLOOKUP('Données projet'!$B$12,Paramètres!$A$1:$I$89,5,0)</f>
        <v>55.067999999999984</v>
      </c>
      <c r="CA24" s="13">
        <f t="shared" si="39"/>
        <v>15.915148294580479</v>
      </c>
      <c r="CB24" s="20">
        <f t="shared" si="10"/>
        <v>123.62898327972762</v>
      </c>
      <c r="CC24" s="59">
        <f t="shared" si="11"/>
        <v>405.96231661306092</v>
      </c>
      <c r="CD24" s="59">
        <f ca="1">AVERAGE(OFFSET($CC$3,0,0,'Données projet'!$E$12+1,1))-AVERAGE(OFFSET($H$3,0,0,'Données projet'!$E$12+1,1))</f>
        <v>288.82868507674738</v>
      </c>
      <c r="CE24" s="59">
        <f t="shared" si="40"/>
        <v>283.48738729114024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1.7960797442502867</v>
      </c>
      <c r="CM24" s="21">
        <f>EXP(-LN(2)/2)*CM23+(1-EXP(-LN(2)/2))/(LN(2)/2)*CG24*CJ24*VLOOKUP('Données projet'!$B$12,Paramètres!$A$1:$I$89,3,0)*0.475*44/12</f>
        <v>10.407918760972056</v>
      </c>
      <c r="CN24" s="22">
        <f t="shared" si="12"/>
        <v>12.203998505222343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11</v>
      </c>
      <c r="N25" s="13">
        <f>IF('Données projet'!$A$36&gt;35,N24+M25-V24,IF(A25&lt;'Données projet'!$A$36,$K$205^A25,IF(A25='Données projet'!$A$36,'Données projet'!$B$36,N24+M25-V24)))</f>
        <v>78</v>
      </c>
      <c r="O25" s="13">
        <f>N25*VLOOKUP('Données projet'!$B$9,Paramètres!$A$1:$I$89,3,0)*VLOOKUP('Données projet'!$B$9,Paramètres!$A$1:$I$89,5,0)</f>
        <v>57.189599999999999</v>
      </c>
      <c r="P25" s="13">
        <f t="shared" si="33"/>
        <v>16.455740048444721</v>
      </c>
      <c r="Q25" s="20">
        <f t="shared" si="2"/>
        <v>128.2656339177079</v>
      </c>
      <c r="R25" s="59">
        <f t="shared" si="0"/>
        <v>411.82118947326342</v>
      </c>
      <c r="S25" s="59">
        <f ca="1">AVERAGE(OFFSET($R$3,0,0,'Données projet'!$E$9+1,1))-AVERAGE(OFFSET($H$3,0,0,'Données projet'!$E$9+1,1))</f>
        <v>193.60868637458515</v>
      </c>
      <c r="T25" s="59">
        <f t="shared" si="34"/>
        <v>272.97841038165217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12.6</v>
      </c>
      <c r="AI25" s="13">
        <f>IF('Données projet'!$A$62&gt;35,AI24+AH25-AQ24,IF(A25&lt;'Données projet'!$A$62,$AF$205^A25,IF(A25='Données projet'!$A$62,'Données projet'!$B$62,AI24+AH25-AQ24)))</f>
        <v>77.199999999999989</v>
      </c>
      <c r="AJ25" s="13">
        <f>AI25*VLOOKUP('Données projet'!$B$10,Paramètres!$A$1:$I$89,3,0)*VLOOKUP('Données projet'!$B$10,Paramètres!$A$1:$I$89,5,0)</f>
        <v>61.42031999999999</v>
      </c>
      <c r="AK25" s="13">
        <f t="shared" si="35"/>
        <v>17.526880037631354</v>
      </c>
      <c r="AL25" s="20">
        <f t="shared" si="4"/>
        <v>137.4997067322079</v>
      </c>
      <c r="AM25" s="59">
        <f t="shared" si="5"/>
        <v>421.05526228776341</v>
      </c>
      <c r="AN25" s="59">
        <f ca="1">AVERAGE(OFFSET($AM$3,0,0,'Données projet'!$E$10+1,1))-AVERAGE(OFFSET($H$3,0,0,'Données projet'!$E$10+1,1))</f>
        <v>238.56893947183841</v>
      </c>
      <c r="AO25" s="59">
        <f t="shared" si="36"/>
        <v>292.57799203101769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5.6</v>
      </c>
      <c r="BD25" s="12">
        <f>IF('Données projet'!$A$88&gt;35,BD24+BC25-BL24,IF(A25&lt;'Données projet'!$A$88,$BA$205^A25,IF(A25='Données projet'!$A$88,'Données projet'!$B$88,BD24+BC25-BL24)))</f>
        <v>53.2</v>
      </c>
      <c r="BE25" s="13">
        <f>BD25*VLOOKUP('Données projet'!$B$11,Paramètres!$A$1:$I$89,3,0)*VLOOKUP('Données projet'!$B$11,Paramètres!$A$1:$I$89,5,0)</f>
        <v>48.135359999999999</v>
      </c>
      <c r="BF25" s="13">
        <f t="shared" si="37"/>
        <v>14.131148275361113</v>
      </c>
      <c r="BG25" s="20">
        <f t="shared" si="7"/>
        <v>108.4475019129206</v>
      </c>
      <c r="BH25" s="59">
        <f t="shared" si="8"/>
        <v>392.00305746847613</v>
      </c>
      <c r="BI25" s="59">
        <f ca="1">AVERAGE(OFFSET($BH$3,0,0,'Données projet'!$E$11+1,1))-AVERAGE(OFFSET($H$3,0,0,'Données projet'!$E$11+1,1))</f>
        <v>277.20405719540543</v>
      </c>
      <c r="BJ25" s="59">
        <f t="shared" si="38"/>
        <v>231.36959598460686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10.6</v>
      </c>
      <c r="BY25" s="12">
        <f>IF('Données projet'!$A$114&gt;35,BY24+BX25-CG24,IF(A25&lt;'Données projet'!$A$114,$BV$205^A25,IF(A25='Données projet'!$A$114,'Données projet'!$B$114,BY24+BX25-CG24)))</f>
        <v>81.199999999999974</v>
      </c>
      <c r="BZ25" s="13">
        <f>BY25*VLOOKUP('Données projet'!$B$12,Paramètres!$A$1:$I$89,3,0)*VLOOKUP('Données projet'!$B$12,Paramètres!$A$1:$I$89,5,0)</f>
        <v>63.335999999999984</v>
      </c>
      <c r="CA25" s="13">
        <f t="shared" si="39"/>
        <v>18.009040022946227</v>
      </c>
      <c r="CB25" s="20">
        <f t="shared" si="10"/>
        <v>141.67594470663133</v>
      </c>
      <c r="CC25" s="59">
        <f t="shared" si="11"/>
        <v>425.23150026218684</v>
      </c>
      <c r="CD25" s="59">
        <f ca="1">AVERAGE(OFFSET($CC$3,0,0,'Données projet'!$E$12+1,1))-AVERAGE(OFFSET($H$3,0,0,'Données projet'!$E$12+1,1))</f>
        <v>288.82868507674738</v>
      </c>
      <c r="CE25" s="59">
        <f t="shared" si="40"/>
        <v>283.48738729114024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1.7469658491920339</v>
      </c>
      <c r="CM25" s="21">
        <f>EXP(-LN(2)/2)*CM24+(1-EXP(-LN(2)/2))/(LN(2)/2)*CG25*CJ25*VLOOKUP('Données projet'!$B$12,Paramètres!$A$1:$I$89,3,0)*0.475*44/12</f>
        <v>7.3595099339220305</v>
      </c>
      <c r="CN25" s="22">
        <f t="shared" si="12"/>
        <v>9.1064757831140639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11</v>
      </c>
      <c r="N26" s="13">
        <f>IF('Données projet'!$A$36&gt;35,N25+M26-V25,IF(A26&lt;'Données projet'!$A$36,$K$205^A26,IF(A26='Données projet'!$A$36,'Données projet'!$B$36,N25+M26-V25)))</f>
        <v>89</v>
      </c>
      <c r="O26" s="13">
        <f>N26*VLOOKUP('Données projet'!$B$9,Paramètres!$A$1:$I$89,3,0)*VLOOKUP('Données projet'!$B$9,Paramètres!$A$1:$I$89,5,0)</f>
        <v>65.254800000000003</v>
      </c>
      <c r="P26" s="13">
        <f t="shared" si="33"/>
        <v>18.490286358600809</v>
      </c>
      <c r="Q26" s="20">
        <f t="shared" si="2"/>
        <v>145.85602540789642</v>
      </c>
      <c r="R26" s="59">
        <f t="shared" si="0"/>
        <v>430.6338031856742</v>
      </c>
      <c r="S26" s="59">
        <f ca="1">AVERAGE(OFFSET($R$3,0,0,'Données projet'!$E$9+1,1))-AVERAGE(OFFSET($H$3,0,0,'Données projet'!$E$9+1,1))</f>
        <v>193.60868637458515</v>
      </c>
      <c r="T26" s="59">
        <f t="shared" si="34"/>
        <v>272.97841038165217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12.6</v>
      </c>
      <c r="AI26" s="13">
        <f>IF('Données projet'!$A$62&gt;35,AI25+AH26-AQ25,IF(A26&lt;'Données projet'!$A$62,$AF$205^A26,IF(A26='Données projet'!$A$62,'Données projet'!$B$62,AI25+AH26-AQ25)))</f>
        <v>89.799999999999983</v>
      </c>
      <c r="AJ26" s="13">
        <f>AI26*VLOOKUP('Données projet'!$B$10,Paramètres!$A$1:$I$89,3,0)*VLOOKUP('Données projet'!$B$10,Paramètres!$A$1:$I$89,5,0)</f>
        <v>71.444879999999998</v>
      </c>
      <c r="AK26" s="13">
        <f t="shared" si="35"/>
        <v>20.03184442542841</v>
      </c>
      <c r="AL26" s="20">
        <f t="shared" si="4"/>
        <v>159.32196170762117</v>
      </c>
      <c r="AM26" s="59">
        <f t="shared" si="5"/>
        <v>444.09973948539891</v>
      </c>
      <c r="AN26" s="59">
        <f ca="1">AVERAGE(OFFSET($AM$3,0,0,'Données projet'!$E$10+1,1))-AVERAGE(OFFSET($H$3,0,0,'Données projet'!$E$10+1,1))</f>
        <v>238.56893947183841</v>
      </c>
      <c r="AO26" s="59">
        <f t="shared" si="36"/>
        <v>292.57799203101769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5.6</v>
      </c>
      <c r="BD26" s="12">
        <f>IF('Données projet'!$A$88&gt;35,BD25+BC26-BL25,IF(A26&lt;'Données projet'!$A$88,$BA$205^A26,IF(A26='Données projet'!$A$88,'Données projet'!$B$88,BD25+BC26-BL25)))</f>
        <v>58.800000000000004</v>
      </c>
      <c r="BE26" s="13">
        <f>BD26*VLOOKUP('Données projet'!$B$11,Paramètres!$A$1:$I$89,3,0)*VLOOKUP('Données projet'!$B$11,Paramètres!$A$1:$I$89,5,0)</f>
        <v>53.202240000000003</v>
      </c>
      <c r="BF26" s="13">
        <f t="shared" si="37"/>
        <v>15.437740642425908</v>
      </c>
      <c r="BG26" s="20">
        <f t="shared" si="7"/>
        <v>119.54796628555846</v>
      </c>
      <c r="BH26" s="59">
        <f t="shared" si="8"/>
        <v>404.32574406333623</v>
      </c>
      <c r="BI26" s="59">
        <f ca="1">AVERAGE(OFFSET($BH$3,0,0,'Données projet'!$E$11+1,1))-AVERAGE(OFFSET($H$3,0,0,'Données projet'!$E$11+1,1))</f>
        <v>277.20405719540543</v>
      </c>
      <c r="BJ26" s="59">
        <f t="shared" si="38"/>
        <v>231.36959598460686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10.6</v>
      </c>
      <c r="BY26" s="12">
        <f>IF('Données projet'!$A$114&gt;35,BY25+BX26-CG25,IF(A26&lt;'Données projet'!$A$114,$BV$205^A26,IF(A26='Données projet'!$A$114,'Données projet'!$B$114,BY25+BX26-CG25)))</f>
        <v>91.799999999999969</v>
      </c>
      <c r="BZ26" s="13">
        <f>BY26*VLOOKUP('Données projet'!$B$12,Paramètres!$A$1:$I$89,3,0)*VLOOKUP('Données projet'!$B$12,Paramètres!$A$1:$I$89,5,0)</f>
        <v>71.603999999999985</v>
      </c>
      <c r="CA26" s="13">
        <f t="shared" si="39"/>
        <v>20.071260561992585</v>
      </c>
      <c r="CB26" s="20">
        <f t="shared" si="10"/>
        <v>159.66774547880371</v>
      </c>
      <c r="CC26" s="59">
        <f t="shared" si="11"/>
        <v>444.44552325658151</v>
      </c>
      <c r="CD26" s="59">
        <f ca="1">AVERAGE(OFFSET($CC$3,0,0,'Données projet'!$E$12+1,1))-AVERAGE(OFFSET($H$3,0,0,'Données projet'!$E$12+1,1))</f>
        <v>288.82868507674738</v>
      </c>
      <c r="CE26" s="59">
        <f t="shared" si="40"/>
        <v>283.48738729114024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1.6991949761769365</v>
      </c>
      <c r="CM26" s="21">
        <f>EXP(-LN(2)/2)*CM25+(1-EXP(-LN(2)/2))/(LN(2)/2)*CG26*CJ26*VLOOKUP('Données projet'!$B$12,Paramètres!$A$1:$I$89,3,0)*0.475*44/12</f>
        <v>5.2039593804860287</v>
      </c>
      <c r="CN26" s="22">
        <f t="shared" si="12"/>
        <v>6.9031543566629647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11</v>
      </c>
      <c r="N27" s="13">
        <f>IF('Données projet'!$A$36&gt;35,N26+M27-V26,IF(A27&lt;'Données projet'!$A$36,$K$205^A27,IF(A27='Données projet'!$A$36,'Données projet'!$B$36,N26+M27-V26)))</f>
        <v>100</v>
      </c>
      <c r="O27" s="13">
        <f>N27*VLOOKUP('Données projet'!$B$9,Paramètres!$A$1:$I$89,3,0)*VLOOKUP('Données projet'!$B$9,Paramètres!$A$1:$I$89,5,0)</f>
        <v>73.320000000000007</v>
      </c>
      <c r="P27" s="13">
        <f t="shared" si="33"/>
        <v>20.495693943372068</v>
      </c>
      <c r="Q27" s="20">
        <f t="shared" si="2"/>
        <v>163.39566695137304</v>
      </c>
      <c r="R27" s="59">
        <f t="shared" si="0"/>
        <v>449.39566695137307</v>
      </c>
      <c r="S27" s="59">
        <f ca="1">AVERAGE(OFFSET($R$3,0,0,'Données projet'!$E$9+1,1))-AVERAGE(OFFSET($H$3,0,0,'Données projet'!$E$9+1,1))</f>
        <v>193.60868637458515</v>
      </c>
      <c r="T27" s="59">
        <f t="shared" si="34"/>
        <v>272.97841038165217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12.6</v>
      </c>
      <c r="AI27" s="13">
        <f>IF('Données projet'!$A$62&gt;35,AI26+AH27-AQ26,IF(A27&lt;'Données projet'!$A$62,$AF$205^A27,IF(A27='Données projet'!$A$62,'Données projet'!$B$62,AI26+AH27-AQ26)))</f>
        <v>102.39999999999998</v>
      </c>
      <c r="AJ27" s="13">
        <f>AI27*VLOOKUP('Données projet'!$B$10,Paramètres!$A$1:$I$89,3,0)*VLOOKUP('Données projet'!$B$10,Paramètres!$A$1:$I$89,5,0)</f>
        <v>81.469439999999992</v>
      </c>
      <c r="AK27" s="13">
        <f t="shared" si="35"/>
        <v>22.496088365195678</v>
      </c>
      <c r="AL27" s="20">
        <f t="shared" si="4"/>
        <v>181.07329523604912</v>
      </c>
      <c r="AM27" s="59">
        <f t="shared" si="5"/>
        <v>467.07329523604915</v>
      </c>
      <c r="AN27" s="59">
        <f ca="1">AVERAGE(OFFSET($AM$3,0,0,'Données projet'!$E$10+1,1))-AVERAGE(OFFSET($H$3,0,0,'Données projet'!$E$10+1,1))</f>
        <v>238.56893947183841</v>
      </c>
      <c r="AO27" s="59">
        <f t="shared" si="36"/>
        <v>292.57799203101769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5.6</v>
      </c>
      <c r="BD27" s="12">
        <f>IF('Données projet'!$A$88&gt;35,BD26+BC27-BL26,IF(A27&lt;'Données projet'!$A$88,$BA$205^A27,IF(A27='Données projet'!$A$88,'Données projet'!$B$88,BD26+BC27-BL26)))</f>
        <v>64.400000000000006</v>
      </c>
      <c r="BE27" s="13">
        <f>BD27*VLOOKUP('Données projet'!$B$11,Paramètres!$A$1:$I$89,3,0)*VLOOKUP('Données projet'!$B$11,Paramètres!$A$1:$I$89,5,0)</f>
        <v>58.269120000000008</v>
      </c>
      <c r="BF27" s="13">
        <f t="shared" si="37"/>
        <v>16.729905486873804</v>
      </c>
      <c r="BG27" s="20">
        <f t="shared" si="7"/>
        <v>130.62330272297189</v>
      </c>
      <c r="BH27" s="59">
        <f t="shared" si="8"/>
        <v>416.62330272297186</v>
      </c>
      <c r="BI27" s="59">
        <f ca="1">AVERAGE(OFFSET($BH$3,0,0,'Données projet'!$E$11+1,1))-AVERAGE(OFFSET($H$3,0,0,'Données projet'!$E$11+1,1))</f>
        <v>277.20405719540543</v>
      </c>
      <c r="BJ27" s="59">
        <f t="shared" si="38"/>
        <v>231.36959598460686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10.6</v>
      </c>
      <c r="BY27" s="12">
        <f>IF('Données projet'!$A$114&gt;35,BY26+BX27-CG26,IF(A27&lt;'Données projet'!$A$114,$BV$205^A27,IF(A27='Données projet'!$A$114,'Données projet'!$B$114,BY26+BX27-CG26)))</f>
        <v>102.39999999999996</v>
      </c>
      <c r="BZ27" s="13">
        <f>BY27*VLOOKUP('Données projet'!$B$12,Paramètres!$A$1:$I$89,3,0)*VLOOKUP('Données projet'!$B$12,Paramètres!$A$1:$I$89,5,0)</f>
        <v>79.871999999999971</v>
      </c>
      <c r="CA27" s="13">
        <f t="shared" si="39"/>
        <v>22.105884547145401</v>
      </c>
      <c r="CB27" s="20">
        <f t="shared" si="10"/>
        <v>177.61148225294485</v>
      </c>
      <c r="CC27" s="59">
        <f t="shared" si="11"/>
        <v>463.61148225294482</v>
      </c>
      <c r="CD27" s="59">
        <f ca="1">AVERAGE(OFFSET($CC$3,0,0,'Données projet'!$E$12+1,1))-AVERAGE(OFFSET($H$3,0,0,'Données projet'!$E$12+1,1))</f>
        <v>288.82868507674738</v>
      </c>
      <c r="CE27" s="59">
        <f t="shared" si="40"/>
        <v>283.48738729114024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1.6527304001965979</v>
      </c>
      <c r="CM27" s="21">
        <f>EXP(-LN(2)/2)*CM26+(1-EXP(-LN(2)/2))/(LN(2)/2)*CG27*CJ27*VLOOKUP('Données projet'!$B$12,Paramètres!$A$1:$I$89,3,0)*0.475*44/12</f>
        <v>3.6797549669610161</v>
      </c>
      <c r="CN27" s="22">
        <f t="shared" si="12"/>
        <v>5.3324853671576138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111</v>
      </c>
      <c r="L28" s="12">
        <f>VLOOKUP(A28,'Données projet'!$A$35:$I$55,9,0)</f>
        <v>11</v>
      </c>
      <c r="M28" s="12">
        <f t="array" ref="M28">INDEX(L:L,MIN(IF(ISNUMBER(L28:L224),ROW(L28:L224),"")))</f>
        <v>11</v>
      </c>
      <c r="N28" s="13">
        <f>IF('Données projet'!$A$36&gt;35,N27+M28-V27,IF(A28&lt;'Données projet'!$A$36,$K$205^A28,IF(A28='Données projet'!$A$36,'Données projet'!$B$36,N27+M28-V27)))</f>
        <v>111</v>
      </c>
      <c r="O28" s="13">
        <f>N28*VLOOKUP('Données projet'!$B$9,Paramètres!$A$1:$I$89,3,0)*VLOOKUP('Données projet'!$B$9,Paramètres!$A$1:$I$89,5,0)</f>
        <v>81.385199999999998</v>
      </c>
      <c r="P28" s="13">
        <f t="shared" si="33"/>
        <v>22.475533601501123</v>
      </c>
      <c r="Q28" s="20">
        <f t="shared" si="2"/>
        <v>180.89077768928109</v>
      </c>
      <c r="R28" s="59">
        <f t="shared" si="0"/>
        <v>468.11299991150332</v>
      </c>
      <c r="S28" s="59">
        <f ca="1">AVERAGE(OFFSET($R$3,0,0,'Données projet'!$E$9+1,1))-AVERAGE(OFFSET($H$3,0,0,'Données projet'!$E$9+1,1))</f>
        <v>193.60868637458515</v>
      </c>
      <c r="T28" s="59">
        <f t="shared" si="34"/>
        <v>272.97841038165217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26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115</v>
      </c>
      <c r="AG28" s="12">
        <f>VLOOKUP(A28,'Données projet'!$A$61:$I$81,9,0)</f>
        <v>12.6</v>
      </c>
      <c r="AH28" s="12">
        <f t="array" ref="AH28">INDEX(AG:AG,MIN(IF(ISNUMBER(AG28:AG224),ROW(AG28:AG224),"")))</f>
        <v>12.6</v>
      </c>
      <c r="AI28" s="13">
        <f>IF('Données projet'!$A$62&gt;35,AI27+AH28-AQ27,IF(A28&lt;'Données projet'!$A$62,$AF$205^A28,IF(A28='Données projet'!$A$62,'Données projet'!$B$62,AI27+AH28-AQ27)))</f>
        <v>114.99999999999997</v>
      </c>
      <c r="AJ28" s="13">
        <f>AI28*VLOOKUP('Données projet'!$B$10,Paramètres!$A$1:$I$89,3,0)*VLOOKUP('Données projet'!$B$10,Paramètres!$A$1:$I$89,5,0)</f>
        <v>91.493999999999986</v>
      </c>
      <c r="AK28" s="13">
        <f t="shared" si="35"/>
        <v>24.925195840896517</v>
      </c>
      <c r="AL28" s="20">
        <f t="shared" si="4"/>
        <v>202.76343275622807</v>
      </c>
      <c r="AM28" s="59">
        <f t="shared" si="5"/>
        <v>489.98565497845027</v>
      </c>
      <c r="AN28" s="59">
        <f ca="1">AVERAGE(OFFSET($AM$3,0,0,'Données projet'!$E$10+1,1))-AVERAGE(OFFSET($H$3,0,0,'Données projet'!$E$10+1,1))</f>
        <v>238.56893947183841</v>
      </c>
      <c r="AO28" s="59">
        <f t="shared" si="36"/>
        <v>292.57799203101769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70</v>
      </c>
      <c r="BB28" s="12">
        <f>VLOOKUP(A28,'Données projet'!$A$87:$I$107,9,0)</f>
        <v>5.6</v>
      </c>
      <c r="BC28" s="12">
        <f t="array" ref="BC28">INDEX(BB:BB,MIN(IF(ISNUMBER(BB28:BB224),ROW(BB28:BB224),"")))</f>
        <v>5.6</v>
      </c>
      <c r="BD28" s="12">
        <f>IF('Données projet'!$A$88&gt;35,BD27+BC28-BL27,IF(A28&lt;'Données projet'!$A$88,$BA$205^A28,IF(A28='Données projet'!$A$88,'Données projet'!$B$88,BD27+BC28-BL27)))</f>
        <v>70</v>
      </c>
      <c r="BE28" s="13">
        <f>BD28*VLOOKUP('Données projet'!$B$11,Paramètres!$A$1:$I$89,3,0)*VLOOKUP('Données projet'!$B$11,Paramètres!$A$1:$I$89,5,0)</f>
        <v>63.335999999999991</v>
      </c>
      <c r="BF28" s="13">
        <f t="shared" si="37"/>
        <v>18.009040022946227</v>
      </c>
      <c r="BG28" s="20">
        <f t="shared" si="7"/>
        <v>141.67594470663133</v>
      </c>
      <c r="BH28" s="59">
        <f t="shared" si="8"/>
        <v>428.89816692885358</v>
      </c>
      <c r="BI28" s="59">
        <f ca="1">AVERAGE(OFFSET($BH$3,0,0,'Données projet'!$E$11+1,1))-AVERAGE(OFFSET($H$3,0,0,'Données projet'!$E$11+1,1))</f>
        <v>277.20405719540543</v>
      </c>
      <c r="BJ28" s="59">
        <f t="shared" si="38"/>
        <v>231.36959598460686</v>
      </c>
      <c r="BK28" s="15">
        <f>IF(ISNA(VLOOKUP(A28,'Données projet'!$A$87:$I$107,3,0)),0,VLOOKUP(A28,'Données projet'!$A$87:$I$107,3,0))</f>
        <v>2</v>
      </c>
      <c r="BL28" s="15">
        <f>IF(ISNA(VLOOKUP(A28,'Données projet'!$A$87:$I$107,4,0)),0,VLOOKUP(A28,'Données projet'!$A$87:$I$107,4,0))</f>
        <v>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113</v>
      </c>
      <c r="BW28" s="12">
        <f>VLOOKUP(A28,'Données projet'!$A$113:$I$133,9,0)</f>
        <v>10.6</v>
      </c>
      <c r="BX28" s="12">
        <f t="array" ref="BX28">INDEX(BW:BW,MIN(IF(ISNUMBER(BW28:BW224),ROW(BW28:BW224),"")))</f>
        <v>10.6</v>
      </c>
      <c r="BY28" s="12">
        <f>IF('Données projet'!$A$114&gt;35,BY27+BX28-CG27,IF(A28&lt;'Données projet'!$A$114,$BV$205^A28,IF(A28='Données projet'!$A$114,'Données projet'!$B$114,BY27+BX28-CG27)))</f>
        <v>112.99999999999996</v>
      </c>
      <c r="BZ28" s="13">
        <f>BY28*VLOOKUP('Données projet'!$B$12,Paramètres!$A$1:$I$89,3,0)*VLOOKUP('Données projet'!$B$12,Paramètres!$A$1:$I$89,5,0)</f>
        <v>88.139999999999972</v>
      </c>
      <c r="CA28" s="13">
        <f t="shared" si="39"/>
        <v>24.116094026318823</v>
      </c>
      <c r="CB28" s="20">
        <f t="shared" si="10"/>
        <v>195.51269709583855</v>
      </c>
      <c r="CC28" s="59">
        <f t="shared" si="11"/>
        <v>482.73491931806075</v>
      </c>
      <c r="CD28" s="59">
        <f ca="1">AVERAGE(OFFSET($CC$3,0,0,'Données projet'!$E$12+1,1))-AVERAGE(OFFSET($H$3,0,0,'Données projet'!$E$12+1,1))</f>
        <v>288.82868507674738</v>
      </c>
      <c r="CE28" s="59">
        <f t="shared" si="40"/>
        <v>283.48738729114024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8.6000000000000007E-2</v>
      </c>
      <c r="CJ28" s="16">
        <f>IF(ISNA(VLOOKUP(A28,'Données projet'!$A$113:$I$133,7,0)),0%,VLOOKUP(A28,'Données projet'!$A$113:$I$133,7,0))</f>
        <v>0.8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3.6018367728377676</v>
      </c>
      <c r="CM28" s="21">
        <f>EXP(-LN(2)/2)*CM27+(1-EXP(-LN(2)/2))/(LN(2)/2)*CG28*CJ28*VLOOKUP('Données projet'!$B$12,Paramètres!$A$1:$I$89,3,0)*0.475*44/12</f>
        <v>18.498521147514595</v>
      </c>
      <c r="CN28" s="22">
        <f t="shared" si="12"/>
        <v>22.100357920352362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12.2</v>
      </c>
      <c r="N29" s="13">
        <f>IF('Données projet'!$A$36&gt;35,N28+M29-V28,IF(A29&lt;'Données projet'!$A$36,$K$205^A29,IF(A29='Données projet'!$A$36,'Données projet'!$B$36,N28+M29-V28)))</f>
        <v>97.2</v>
      </c>
      <c r="O29" s="13">
        <f>N29*VLOOKUP('Données projet'!$B$9,Paramètres!$A$1:$I$89,3,0)*VLOOKUP('Données projet'!$B$9,Paramètres!$A$1:$I$89,5,0)</f>
        <v>71.267039999999994</v>
      </c>
      <c r="P29" s="13">
        <f t="shared" si="33"/>
        <v>19.987779001267139</v>
      </c>
      <c r="Q29" s="20">
        <f t="shared" si="2"/>
        <v>158.93547642720694</v>
      </c>
      <c r="R29" s="59">
        <f t="shared" si="0"/>
        <v>447.37992087165139</v>
      </c>
      <c r="S29" s="59">
        <f ca="1">AVERAGE(OFFSET($R$3,0,0,'Données projet'!$E$9+1,1))-AVERAGE(OFFSET($H$3,0,0,'Données projet'!$E$9+1,1))</f>
        <v>193.60868637458515</v>
      </c>
      <c r="T29" s="59">
        <f t="shared" si="34"/>
        <v>272.97841038165217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11.8</v>
      </c>
      <c r="AI29" s="13">
        <f>IF('Données projet'!$A$62&gt;35,AI28+AH29-AQ28,IF(A29&lt;'Données projet'!$A$62,$AF$205^A29,IF(A29='Données projet'!$A$62,'Données projet'!$B$62,AI28+AH29-AQ28)))</f>
        <v>98.799999999999969</v>
      </c>
      <c r="AJ29" s="13">
        <f>AI29*VLOOKUP('Données projet'!$B$10,Paramètres!$A$1:$I$89,3,0)*VLOOKUP('Données projet'!$B$10,Paramètres!$A$1:$I$89,5,0)</f>
        <v>78.605279999999979</v>
      </c>
      <c r="AK29" s="13">
        <f t="shared" si="35"/>
        <v>21.795819556945734</v>
      </c>
      <c r="AL29" s="20">
        <f t="shared" si="4"/>
        <v>174.86524839501377</v>
      </c>
      <c r="AM29" s="59">
        <f t="shared" si="5"/>
        <v>463.30969283945819</v>
      </c>
      <c r="AN29" s="59">
        <f ca="1">AVERAGE(OFFSET($AM$3,0,0,'Données projet'!$E$10+1,1))-AVERAGE(OFFSET($H$3,0,0,'Données projet'!$E$10+1,1))</f>
        <v>238.56893947183841</v>
      </c>
      <c r="AO29" s="59">
        <f t="shared" si="36"/>
        <v>292.57799203101769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</v>
      </c>
      <c r="BD29" s="12">
        <f>IF('Données projet'!$A$88&gt;35,BD28+BC29-BL28,IF(A29&lt;'Données projet'!$A$88,$BA$205^A29,IF(A29='Données projet'!$A$88,'Données projet'!$B$88,BD28+BC29-BL28)))</f>
        <v>69</v>
      </c>
      <c r="BE29" s="13">
        <f>BD29*VLOOKUP('Données projet'!$B$11,Paramètres!$A$1:$I$89,3,0)*VLOOKUP('Données projet'!$B$11,Paramètres!$A$1:$I$89,5,0)</f>
        <v>62.431199999999997</v>
      </c>
      <c r="BF29" s="13">
        <f t="shared" si="37"/>
        <v>17.781524466058684</v>
      </c>
      <c r="BG29" s="20">
        <f t="shared" si="7"/>
        <v>139.70382844505221</v>
      </c>
      <c r="BH29" s="59">
        <f t="shared" si="8"/>
        <v>428.14827288949664</v>
      </c>
      <c r="BI29" s="59">
        <f ca="1">AVERAGE(OFFSET($BH$3,0,0,'Données projet'!$E$11+1,1))-AVERAGE(OFFSET($H$3,0,0,'Données projet'!$E$11+1,1))</f>
        <v>277.20405719540543</v>
      </c>
      <c r="BJ29" s="59">
        <f t="shared" si="38"/>
        <v>231.36959598460686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11.5</v>
      </c>
      <c r="BY29" s="12">
        <f>IF('Données projet'!$A$114&gt;35,BY28+BX29-CG28,IF(A29&lt;'Données projet'!$A$114,$BV$205^A29,IF(A29='Données projet'!$A$114,'Données projet'!$B$114,BY28+BX29-CG28)))</f>
        <v>97.499999999999957</v>
      </c>
      <c r="BZ29" s="13">
        <f>BY29*VLOOKUP('Données projet'!$B$12,Paramètres!$A$1:$I$89,3,0)*VLOOKUP('Données projet'!$B$12,Paramètres!$A$1:$I$89,5,0)</f>
        <v>76.049999999999969</v>
      </c>
      <c r="CA29" s="13">
        <f t="shared" si="39"/>
        <v>21.168560890749262</v>
      </c>
      <c r="CB29" s="20">
        <f t="shared" si="10"/>
        <v>169.32232688472158</v>
      </c>
      <c r="CC29" s="59">
        <f t="shared" si="11"/>
        <v>457.76677132916603</v>
      </c>
      <c r="CD29" s="59">
        <f ca="1">AVERAGE(OFFSET($CC$3,0,0,'Données projet'!$E$12+1,1))-AVERAGE(OFFSET($H$3,0,0,'Données projet'!$E$12+1,1))</f>
        <v>288.82868507674738</v>
      </c>
      <c r="CE29" s="59">
        <f t="shared" si="40"/>
        <v>283.48738729114024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3.5033443568721552</v>
      </c>
      <c r="CM29" s="21">
        <f>EXP(-LN(2)/2)*CM28+(1-EXP(-LN(2)/2))/(LN(2)/2)*CG29*CJ29*VLOOKUP('Données projet'!$B$12,Paramètres!$A$1:$I$89,3,0)*0.475*44/12</f>
        <v>13.080429745330326</v>
      </c>
      <c r="CN29" s="22">
        <f t="shared" si="12"/>
        <v>16.583774102202483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12.2</v>
      </c>
      <c r="N30" s="13">
        <f>IF('Données projet'!$A$36&gt;35,N29+M30-V29,IF(A30&lt;'Données projet'!$A$36,$K$205^A30,IF(A30='Données projet'!$A$36,'Données projet'!$B$36,N29+M30-V29)))</f>
        <v>109.4</v>
      </c>
      <c r="O30" s="13">
        <f>N30*VLOOKUP('Données projet'!$B$9,Paramètres!$A$1:$I$89,3,0)*VLOOKUP('Données projet'!$B$9,Paramètres!$A$1:$I$89,5,0)</f>
        <v>80.21208</v>
      </c>
      <c r="P30" s="13">
        <f t="shared" si="33"/>
        <v>22.189030798521017</v>
      </c>
      <c r="Q30" s="20">
        <f t="shared" si="2"/>
        <v>178.3486013074241</v>
      </c>
      <c r="R30" s="59">
        <f t="shared" si="0"/>
        <v>468.01526797409076</v>
      </c>
      <c r="S30" s="59">
        <f ca="1">AVERAGE(OFFSET($R$3,0,0,'Données projet'!$E$9+1,1))-AVERAGE(OFFSET($H$3,0,0,'Données projet'!$E$9+1,1))</f>
        <v>193.60868637458515</v>
      </c>
      <c r="T30" s="59">
        <f t="shared" si="34"/>
        <v>272.97841038165217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11.8</v>
      </c>
      <c r="AI30" s="13">
        <f>IF('Données projet'!$A$62&gt;35,AI29+AH30-AQ29,IF(A30&lt;'Données projet'!$A$62,$AF$205^A30,IF(A30='Données projet'!$A$62,'Données projet'!$B$62,AI29+AH30-AQ29)))</f>
        <v>110.59999999999997</v>
      </c>
      <c r="AJ30" s="13">
        <f>AI30*VLOOKUP('Données projet'!$B$10,Paramètres!$A$1:$I$89,3,0)*VLOOKUP('Données projet'!$B$10,Paramètres!$A$1:$I$89,5,0)</f>
        <v>87.993359999999981</v>
      </c>
      <c r="AK30" s="13">
        <f t="shared" si="35"/>
        <v>24.080638481970816</v>
      </c>
      <c r="AL30" s="20">
        <f t="shared" si="4"/>
        <v>195.19554735609913</v>
      </c>
      <c r="AM30" s="59">
        <f t="shared" si="5"/>
        <v>484.86221402276578</v>
      </c>
      <c r="AN30" s="59">
        <f ca="1">AVERAGE(OFFSET($AM$3,0,0,'Données projet'!$E$10+1,1))-AVERAGE(OFFSET($H$3,0,0,'Données projet'!$E$10+1,1))</f>
        <v>238.56893947183841</v>
      </c>
      <c r="AO30" s="59">
        <f t="shared" si="36"/>
        <v>292.57799203101769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</v>
      </c>
      <c r="BD30" s="12">
        <f>IF('Données projet'!$A$88&gt;35,BD29+BC30-BL29,IF(A30&lt;'Données projet'!$A$88,$BA$205^A30,IF(A30='Données projet'!$A$88,'Données projet'!$B$88,BD29+BC30-BL29)))</f>
        <v>76</v>
      </c>
      <c r="BE30" s="13">
        <f>BD30*VLOOKUP('Données projet'!$B$11,Paramètres!$A$1:$I$89,3,0)*VLOOKUP('Données projet'!$B$11,Paramètres!$A$1:$I$89,5,0)</f>
        <v>68.764799999999994</v>
      </c>
      <c r="BF30" s="13">
        <f t="shared" si="37"/>
        <v>19.366396769521369</v>
      </c>
      <c r="BG30" s="20">
        <f t="shared" si="7"/>
        <v>153.49516770691636</v>
      </c>
      <c r="BH30" s="59">
        <f t="shared" si="8"/>
        <v>443.16183437358302</v>
      </c>
      <c r="BI30" s="59">
        <f ca="1">AVERAGE(OFFSET($BH$3,0,0,'Données projet'!$E$11+1,1))-AVERAGE(OFFSET($H$3,0,0,'Données projet'!$E$11+1,1))</f>
        <v>277.20405719540543</v>
      </c>
      <c r="BJ30" s="59">
        <f t="shared" si="38"/>
        <v>231.36959598460686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11.5</v>
      </c>
      <c r="BY30" s="12">
        <f>IF('Données projet'!$A$114&gt;35,BY29+BX30-CG29,IF(A30&lt;'Données projet'!$A$114,$BV$205^A30,IF(A30='Données projet'!$A$114,'Données projet'!$B$114,BY29+BX30-CG29)))</f>
        <v>108.99999999999996</v>
      </c>
      <c r="BZ30" s="13">
        <f>BY30*VLOOKUP('Données projet'!$B$12,Paramètres!$A$1:$I$89,3,0)*VLOOKUP('Données projet'!$B$12,Paramètres!$A$1:$I$89,5,0)</f>
        <v>85.019999999999968</v>
      </c>
      <c r="CA30" s="13">
        <f t="shared" si="39"/>
        <v>23.360218970693097</v>
      </c>
      <c r="CB30" s="20">
        <f t="shared" si="10"/>
        <v>188.76221470729038</v>
      </c>
      <c r="CC30" s="59">
        <f t="shared" si="11"/>
        <v>478.4288813739571</v>
      </c>
      <c r="CD30" s="59">
        <f ca="1">AVERAGE(OFFSET($CC$3,0,0,'Données projet'!$E$12+1,1))-AVERAGE(OFFSET($H$3,0,0,'Données projet'!$E$12+1,1))</f>
        <v>288.82868507674738</v>
      </c>
      <c r="CE30" s="59">
        <f t="shared" si="40"/>
        <v>283.48738729114024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3.4075452212006132</v>
      </c>
      <c r="CM30" s="21">
        <f>EXP(-LN(2)/2)*CM29+(1-EXP(-LN(2)/2))/(LN(2)/2)*CG30*CJ30*VLOOKUP('Données projet'!$B$12,Paramètres!$A$1:$I$89,3,0)*0.475*44/12</f>
        <v>9.249260573757299</v>
      </c>
      <c r="CN30" s="22">
        <f t="shared" si="12"/>
        <v>12.656805794957911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12.2</v>
      </c>
      <c r="N31" s="13">
        <f>IF('Données projet'!$A$36&gt;35,N30+M31-V30,IF(A31&lt;'Données projet'!$A$36,$K$205^A31,IF(A31='Données projet'!$A$36,'Données projet'!$B$36,N30+M31-V30)))</f>
        <v>121.60000000000001</v>
      </c>
      <c r="O31" s="13">
        <f>N31*VLOOKUP('Données projet'!$B$9,Paramètres!$A$1:$I$89,3,0)*VLOOKUP('Données projet'!$B$9,Paramètres!$A$1:$I$89,5,0)</f>
        <v>89.157120000000006</v>
      </c>
      <c r="P31" s="13">
        <f t="shared" si="33"/>
        <v>24.361831444760703</v>
      </c>
      <c r="Q31" s="20">
        <f t="shared" si="2"/>
        <v>197.71217376629156</v>
      </c>
      <c r="R31" s="59">
        <f t="shared" si="0"/>
        <v>488.60106265518039</v>
      </c>
      <c r="S31" s="59">
        <f ca="1">AVERAGE(OFFSET($R$3,0,0,'Données projet'!$E$9+1,1))-AVERAGE(OFFSET($H$3,0,0,'Données projet'!$E$9+1,1))</f>
        <v>193.60868637458515</v>
      </c>
      <c r="T31" s="59">
        <f t="shared" si="34"/>
        <v>272.97841038165217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11.8</v>
      </c>
      <c r="AI31" s="13">
        <f>IF('Données projet'!$A$62&gt;35,AI30+AH31-AQ30,IF(A31&lt;'Données projet'!$A$62,$AF$205^A31,IF(A31='Données projet'!$A$62,'Données projet'!$B$62,AI30+AH31-AQ30)))</f>
        <v>122.39999999999996</v>
      </c>
      <c r="AJ31" s="13">
        <f>AI31*VLOOKUP('Données projet'!$B$10,Paramètres!$A$1:$I$89,3,0)*VLOOKUP('Données projet'!$B$10,Paramètres!$A$1:$I$89,5,0)</f>
        <v>97.381439999999984</v>
      </c>
      <c r="AK31" s="13">
        <f t="shared" si="35"/>
        <v>26.337201615555198</v>
      </c>
      <c r="AL31" s="20">
        <f t="shared" si="4"/>
        <v>215.47663414709197</v>
      </c>
      <c r="AM31" s="59">
        <f t="shared" si="5"/>
        <v>506.3655230359808</v>
      </c>
      <c r="AN31" s="59">
        <f ca="1">AVERAGE(OFFSET($AM$3,0,0,'Données projet'!$E$10+1,1))-AVERAGE(OFFSET($H$3,0,0,'Données projet'!$E$10+1,1))</f>
        <v>238.56893947183841</v>
      </c>
      <c r="AO31" s="59">
        <f t="shared" si="36"/>
        <v>292.57799203101769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</v>
      </c>
      <c r="BD31" s="12">
        <f>IF('Données projet'!$A$88&gt;35,BD30+BC31-BL30,IF(A31&lt;'Données projet'!$A$88,$BA$205^A31,IF(A31='Données projet'!$A$88,'Données projet'!$B$88,BD30+BC31-BL30)))</f>
        <v>83</v>
      </c>
      <c r="BE31" s="13">
        <f>BD31*VLOOKUP('Données projet'!$B$11,Paramètres!$A$1:$I$89,3,0)*VLOOKUP('Données projet'!$B$11,Paramètres!$A$1:$I$89,5,0)</f>
        <v>75.098399999999998</v>
      </c>
      <c r="BF31" s="13">
        <f t="shared" si="37"/>
        <v>20.934343091450742</v>
      </c>
      <c r="BG31" s="20">
        <f t="shared" si="7"/>
        <v>167.25702755094335</v>
      </c>
      <c r="BH31" s="59">
        <f t="shared" si="8"/>
        <v>458.14591643983221</v>
      </c>
      <c r="BI31" s="59">
        <f ca="1">AVERAGE(OFFSET($BH$3,0,0,'Données projet'!$E$11+1,1))-AVERAGE(OFFSET($H$3,0,0,'Données projet'!$E$11+1,1))</f>
        <v>277.20405719540543</v>
      </c>
      <c r="BJ31" s="59">
        <f t="shared" si="38"/>
        <v>231.36959598460686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11.5</v>
      </c>
      <c r="BY31" s="12">
        <f>IF('Données projet'!$A$114&gt;35,BY30+BX31-CG30,IF(A31&lt;'Données projet'!$A$114,$BV$205^A31,IF(A31='Données projet'!$A$114,'Données projet'!$B$114,BY30+BX31-CG30)))</f>
        <v>120.49999999999996</v>
      </c>
      <c r="BZ31" s="13">
        <f>BY31*VLOOKUP('Données projet'!$B$12,Paramètres!$A$1:$I$89,3,0)*VLOOKUP('Données projet'!$B$12,Paramètres!$A$1:$I$89,5,0)</f>
        <v>93.989999999999966</v>
      </c>
      <c r="CA31" s="13">
        <f t="shared" si="39"/>
        <v>25.525074036970054</v>
      </c>
      <c r="CB31" s="20">
        <f t="shared" si="10"/>
        <v>208.15542061438944</v>
      </c>
      <c r="CC31" s="59">
        <f t="shared" si="11"/>
        <v>499.04430950327833</v>
      </c>
      <c r="CD31" s="59">
        <f ca="1">AVERAGE(OFFSET($CC$3,0,0,'Données projet'!$E$12+1,1))-AVERAGE(OFFSET($H$3,0,0,'Données projet'!$E$12+1,1))</f>
        <v>288.82868507674738</v>
      </c>
      <c r="CE31" s="59">
        <f t="shared" si="40"/>
        <v>283.48738729114024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3.3143657179318673</v>
      </c>
      <c r="CM31" s="21">
        <f>EXP(-LN(2)/2)*CM30+(1-EXP(-LN(2)/2))/(LN(2)/2)*CG31*CJ31*VLOOKUP('Données projet'!$B$12,Paramètres!$A$1:$I$89,3,0)*0.475*44/12</f>
        <v>6.5402148726651639</v>
      </c>
      <c r="CN31" s="22">
        <f t="shared" si="12"/>
        <v>9.8545805905970312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12.2</v>
      </c>
      <c r="N32" s="13">
        <f>IF('Données projet'!$A$36&gt;35,N31+M32-V31,IF(A32&lt;'Données projet'!$A$36,$K$205^A32,IF(A32='Données projet'!$A$36,'Données projet'!$B$36,N31+M32-V31)))</f>
        <v>133.80000000000001</v>
      </c>
      <c r="O32" s="13">
        <f>N32*VLOOKUP('Données projet'!$B$9,Paramètres!$A$1:$I$89,3,0)*VLOOKUP('Données projet'!$B$9,Paramètres!$A$1:$I$89,5,0)</f>
        <v>98.102160000000012</v>
      </c>
      <c r="P32" s="13">
        <f t="shared" si="33"/>
        <v>26.50936037444021</v>
      </c>
      <c r="Q32" s="20">
        <f t="shared" si="2"/>
        <v>217.0317313188167</v>
      </c>
      <c r="R32" s="59">
        <f t="shared" si="0"/>
        <v>509.14284242992784</v>
      </c>
      <c r="S32" s="59">
        <f ca="1">AVERAGE(OFFSET($R$3,0,0,'Données projet'!$E$9+1,1))-AVERAGE(OFFSET($H$3,0,0,'Données projet'!$E$9+1,1))</f>
        <v>193.60868637458515</v>
      </c>
      <c r="T32" s="59">
        <f t="shared" si="34"/>
        <v>272.97841038165217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11.8</v>
      </c>
      <c r="AI32" s="13">
        <f>IF('Données projet'!$A$62&gt;35,AI31+AH32-AQ31,IF(A32&lt;'Données projet'!$A$62,$AF$205^A32,IF(A32='Données projet'!$A$62,'Données projet'!$B$62,AI31+AH32-AQ31)))</f>
        <v>134.19999999999996</v>
      </c>
      <c r="AJ32" s="13">
        <f>AI32*VLOOKUP('Données projet'!$B$10,Paramètres!$A$1:$I$89,3,0)*VLOOKUP('Données projet'!$B$10,Paramètres!$A$1:$I$89,5,0)</f>
        <v>106.76951999999997</v>
      </c>
      <c r="AK32" s="13">
        <f t="shared" si="35"/>
        <v>28.568542914630683</v>
      </c>
      <c r="AL32" s="20">
        <f t="shared" si="4"/>
        <v>235.71379290964839</v>
      </c>
      <c r="AM32" s="59">
        <f t="shared" si="5"/>
        <v>527.8249040207595</v>
      </c>
      <c r="AN32" s="59">
        <f ca="1">AVERAGE(OFFSET($AM$3,0,0,'Données projet'!$E$10+1,1))-AVERAGE(OFFSET($H$3,0,0,'Données projet'!$E$10+1,1))</f>
        <v>238.56893947183841</v>
      </c>
      <c r="AO32" s="59">
        <f t="shared" si="36"/>
        <v>292.57799203101769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</v>
      </c>
      <c r="BD32" s="12">
        <f>IF('Données projet'!$A$88&gt;35,BD31+BC32-BL31,IF(A32&lt;'Données projet'!$A$88,$BA$205^A32,IF(A32='Données projet'!$A$88,'Données projet'!$B$88,BD31+BC32-BL31)))</f>
        <v>90</v>
      </c>
      <c r="BE32" s="13">
        <f>BD32*VLOOKUP('Données projet'!$B$11,Paramètres!$A$1:$I$89,3,0)*VLOOKUP('Données projet'!$B$11,Paramètres!$A$1:$I$89,5,0)</f>
        <v>81.432000000000002</v>
      </c>
      <c r="BF32" s="13">
        <f t="shared" si="37"/>
        <v>22.486953220240881</v>
      </c>
      <c r="BG32" s="20">
        <f t="shared" si="7"/>
        <v>180.99217685858619</v>
      </c>
      <c r="BH32" s="59">
        <f t="shared" si="8"/>
        <v>473.10328796969736</v>
      </c>
      <c r="BI32" s="59">
        <f ca="1">AVERAGE(OFFSET($BH$3,0,0,'Données projet'!$E$11+1,1))-AVERAGE(OFFSET($H$3,0,0,'Données projet'!$E$11+1,1))</f>
        <v>277.20405719540543</v>
      </c>
      <c r="BJ32" s="59">
        <f t="shared" si="38"/>
        <v>231.36959598460686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11.5</v>
      </c>
      <c r="BY32" s="12">
        <f>IF('Données projet'!$A$114&gt;35,BY31+BX32-CG31,IF(A32&lt;'Données projet'!$A$114,$BV$205^A32,IF(A32='Données projet'!$A$114,'Données projet'!$B$114,BY31+BX32-CG31)))</f>
        <v>131.99999999999994</v>
      </c>
      <c r="BZ32" s="13">
        <f>BY32*VLOOKUP('Données projet'!$B$12,Paramètres!$A$1:$I$89,3,0)*VLOOKUP('Données projet'!$B$12,Paramètres!$A$1:$I$89,5,0)</f>
        <v>102.95999999999997</v>
      </c>
      <c r="CA32" s="13">
        <f t="shared" si="39"/>
        <v>27.665975080374633</v>
      </c>
      <c r="CB32" s="20">
        <f t="shared" si="10"/>
        <v>227.50690659831903</v>
      </c>
      <c r="CC32" s="59">
        <f t="shared" si="11"/>
        <v>519.61801770943021</v>
      </c>
      <c r="CD32" s="59">
        <f ca="1">AVERAGE(OFFSET($CC$3,0,0,'Données projet'!$E$12+1,1))-AVERAGE(OFFSET($H$3,0,0,'Données projet'!$E$12+1,1))</f>
        <v>288.82868507674738</v>
      </c>
      <c r="CE32" s="59">
        <f t="shared" si="40"/>
        <v>283.48738729114024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3.2237342130801023</v>
      </c>
      <c r="CM32" s="21">
        <f>EXP(-LN(2)/2)*CM31+(1-EXP(-LN(2)/2))/(LN(2)/2)*CG32*CJ32*VLOOKUP('Données projet'!$B$12,Paramètres!$A$1:$I$89,3,0)*0.475*44/12</f>
        <v>4.6246302868786504</v>
      </c>
      <c r="CN32" s="22">
        <f t="shared" si="12"/>
        <v>7.8483644999587527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146</v>
      </c>
      <c r="L33" s="12">
        <f>VLOOKUP(A33,'Données projet'!$A$35:$I$55,9,0)</f>
        <v>12.2</v>
      </c>
      <c r="M33" s="12">
        <f t="array" ref="M33">INDEX(L:L,MIN(IF(ISNUMBER(L33:L229),ROW(L33:L229),"")))</f>
        <v>12.2</v>
      </c>
      <c r="N33" s="13">
        <f>IF('Données projet'!$A$36&gt;35,N32+M33-V32,IF(A33&lt;'Données projet'!$A$36,$K$205^A33,IF(A33='Données projet'!$A$36,'Données projet'!$B$36,N32+M33-V32)))</f>
        <v>146</v>
      </c>
      <c r="O33" s="13">
        <f>N33*VLOOKUP('Données projet'!$B$9,Paramètres!$A$1:$I$89,3,0)*VLOOKUP('Données projet'!$B$9,Paramètres!$A$1:$I$89,5,0)</f>
        <v>107.04719999999999</v>
      </c>
      <c r="P33" s="13">
        <f t="shared" si="33"/>
        <v>28.634183951187907</v>
      </c>
      <c r="Q33" s="20">
        <f t="shared" si="2"/>
        <v>236.3117437149856</v>
      </c>
      <c r="R33" s="59">
        <f t="shared" si="0"/>
        <v>529.64507704831885</v>
      </c>
      <c r="S33" s="59">
        <f ca="1">AVERAGE(OFFSET($R$3,0,0,'Données projet'!$E$9+1,1))-AVERAGE(OFFSET($H$3,0,0,'Données projet'!$E$9+1,1))</f>
        <v>193.60868637458515</v>
      </c>
      <c r="T33" s="59">
        <f t="shared" si="34"/>
        <v>272.97841038165217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35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</v>
      </c>
      <c r="AG33" s="12">
        <f>VLOOKUP(A33,'Données projet'!$A$61:$I$81,9,0)</f>
        <v>11.8</v>
      </c>
      <c r="AH33" s="12">
        <f t="array" ref="AH33">INDEX(AG:AG,MIN(IF(ISNUMBER(AG33:AG229),ROW(AG33:AG229),"")))</f>
        <v>11.8</v>
      </c>
      <c r="AI33" s="13">
        <f>IF('Données projet'!$A$62&gt;35,AI32+AH33-AQ32,IF(A33&lt;'Données projet'!$A$62,$AF$205^A33,IF(A33='Données projet'!$A$62,'Données projet'!$B$62,AI32+AH33-AQ32)))</f>
        <v>145.99999999999997</v>
      </c>
      <c r="AJ33" s="13">
        <f>AI33*VLOOKUP('Données projet'!$B$10,Paramètres!$A$1:$I$89,3,0)*VLOOKUP('Données projet'!$B$10,Paramètres!$A$1:$I$89,5,0)</f>
        <v>116.15759999999999</v>
      </c>
      <c r="AK33" s="13">
        <f t="shared" si="35"/>
        <v>30.777132266613055</v>
      </c>
      <c r="AL33" s="20">
        <f t="shared" si="4"/>
        <v>255.91132536435109</v>
      </c>
      <c r="AM33" s="59">
        <f t="shared" si="5"/>
        <v>549.24465869768437</v>
      </c>
      <c r="AN33" s="59">
        <f ca="1">AVERAGE(OFFSET($AM$3,0,0,'Données projet'!$E$10+1,1))-AVERAGE(OFFSET($H$3,0,0,'Données projet'!$E$10+1,1))</f>
        <v>238.56893947183841</v>
      </c>
      <c r="AO33" s="59">
        <f t="shared" si="36"/>
        <v>292.57799203101769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7</v>
      </c>
      <c r="BC33" s="12">
        <f t="array" ref="BC33">INDEX(BB:BB,MIN(IF(ISNUMBER(BB33:BB229),ROW(BB33:BB229),"")))</f>
        <v>7</v>
      </c>
      <c r="BD33" s="12">
        <f>IF('Données projet'!$A$88&gt;35,BD32+BC33-BL32,IF(A33&lt;'Données projet'!$A$88,$BA$205^A33,IF(A33='Données projet'!$A$88,'Données projet'!$B$88,BD32+BC33-BL32)))</f>
        <v>97</v>
      </c>
      <c r="BE33" s="13">
        <f>BD33*VLOOKUP('Données projet'!$B$11,Paramètres!$A$1:$I$89,3,0)*VLOOKUP('Données projet'!$B$11,Paramètres!$A$1:$I$89,5,0)</f>
        <v>87.765600000000006</v>
      </c>
      <c r="BF33" s="13">
        <f t="shared" si="37"/>
        <v>24.025555589247954</v>
      </c>
      <c r="BG33" s="20">
        <f t="shared" si="7"/>
        <v>194.7029293179402</v>
      </c>
      <c r="BH33" s="59">
        <f t="shared" si="8"/>
        <v>488.03626265127355</v>
      </c>
      <c r="BI33" s="59">
        <f ca="1">AVERAGE(OFFSET($BH$3,0,0,'Données projet'!$E$11+1,1))-AVERAGE(OFFSET($H$3,0,0,'Données projet'!$E$11+1,1))</f>
        <v>277.20405719540543</v>
      </c>
      <c r="BJ33" s="59">
        <f t="shared" si="38"/>
        <v>231.36959598460686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11.5</v>
      </c>
      <c r="BY33" s="12">
        <f>IF('Données projet'!$A$114&gt;35,BY32+BX33-CG32,IF(A33&lt;'Données projet'!$A$114,$BV$205^A33,IF(A33='Données projet'!$A$114,'Données projet'!$B$114,BY32+BX33-CG32)))</f>
        <v>143.49999999999994</v>
      </c>
      <c r="BZ33" s="13">
        <f>BY33*VLOOKUP('Données projet'!$B$12,Paramètres!$A$1:$I$89,3,0)*VLOOKUP('Données projet'!$B$12,Paramètres!$A$1:$I$89,5,0)</f>
        <v>111.92999999999996</v>
      </c>
      <c r="CA33" s="13">
        <f t="shared" si="39"/>
        <v>29.785246291563833</v>
      </c>
      <c r="CB33" s="20">
        <f t="shared" si="10"/>
        <v>246.82072062447358</v>
      </c>
      <c r="CC33" s="59">
        <f t="shared" si="11"/>
        <v>540.15405395780692</v>
      </c>
      <c r="CD33" s="59">
        <f ca="1">AVERAGE(OFFSET($CC$3,0,0,'Données projet'!$E$12+1,1))-AVERAGE(OFFSET($H$3,0,0,'Données projet'!$E$12+1,1))</f>
        <v>288.82868507674738</v>
      </c>
      <c r="CE33" s="59">
        <f t="shared" si="40"/>
        <v>283.48738729114024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3.1355810314946124</v>
      </c>
      <c r="CM33" s="21">
        <f>EXP(-LN(2)/2)*CM32+(1-EXP(-LN(2)/2))/(LN(2)/2)*CG33*CJ33*VLOOKUP('Données projet'!$B$12,Paramètres!$A$1:$I$89,3,0)*0.475*44/12</f>
        <v>3.2701074363325824</v>
      </c>
      <c r="CN33" s="22">
        <f t="shared" si="12"/>
        <v>6.4056884678271953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12.8</v>
      </c>
      <c r="N34" s="13">
        <f>IF('Données projet'!$A$36&gt;35,N33+M34-V33,IF(A34&lt;'Données projet'!$A$36,$K$205^A34,IF(A34='Données projet'!$A$36,'Données projet'!$B$36,N33+M34-V33)))</f>
        <v>123.80000000000001</v>
      </c>
      <c r="O34" s="13">
        <f>N34*VLOOKUP('Données projet'!$B$9,Paramètres!$A$1:$I$89,3,0)*VLOOKUP('Données projet'!$B$9,Paramètres!$A$1:$I$89,5,0)</f>
        <v>90.770160000000004</v>
      </c>
      <c r="P34" s="13">
        <f t="shared" si="33"/>
        <v>24.75087682638571</v>
      </c>
      <c r="Q34" s="20">
        <f t="shared" si="2"/>
        <v>201.19913913928846</v>
      </c>
      <c r="R34" s="59">
        <f t="shared" si="0"/>
        <v>494.53247247262175</v>
      </c>
      <c r="S34" s="59">
        <f ca="1">AVERAGE(OFFSET($R$3,0,0,'Données projet'!$E$9+1,1))-AVERAGE(OFFSET($H$3,0,0,'Données projet'!$E$9+1,1))</f>
        <v>193.60868637458515</v>
      </c>
      <c r="T34" s="59">
        <f t="shared" si="34"/>
        <v>272.97841038165217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128.79999999999998</v>
      </c>
      <c r="AJ34" s="13">
        <f>AI34*VLOOKUP('Données projet'!$B$10,Paramètres!$A$1:$I$89,3,0)*VLOOKUP('Données projet'!$B$10,Paramètres!$A$1:$I$89,5,0)</f>
        <v>102.47327999999999</v>
      </c>
      <c r="AK34" s="13">
        <f t="shared" si="35"/>
        <v>27.550381949314474</v>
      </c>
      <c r="AL34" s="20">
        <f t="shared" si="4"/>
        <v>226.45787789505599</v>
      </c>
      <c r="AM34" s="59">
        <f t="shared" si="5"/>
        <v>519.79121122838933</v>
      </c>
      <c r="AN34" s="59">
        <f ca="1">AVERAGE(OFFSET($AM$3,0,0,'Données projet'!$E$10+1,1))-AVERAGE(OFFSET($H$3,0,0,'Données projet'!$E$10+1,1))</f>
        <v>238.56893947183841</v>
      </c>
      <c r="AO34" s="59">
        <f t="shared" si="36"/>
        <v>292.57799203101769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</v>
      </c>
      <c r="BD34" s="12">
        <f>IF('Données projet'!$A$88&gt;35,BD33+BC34-BL33,IF(A34&lt;'Données projet'!$A$88,$BA$205^A34,IF(A34='Données projet'!$A$88,'Données projet'!$B$88,BD33+BC34-BL33)))</f>
        <v>84</v>
      </c>
      <c r="BE34" s="13">
        <f>BD34*VLOOKUP('Données projet'!$B$11,Paramètres!$A$1:$I$89,3,0)*VLOOKUP('Données projet'!$B$11,Paramètres!$A$1:$I$89,5,0)</f>
        <v>76.003200000000007</v>
      </c>
      <c r="BF34" s="13">
        <f t="shared" si="37"/>
        <v>21.157049992000456</v>
      </c>
      <c r="BG34" s="20">
        <f t="shared" si="7"/>
        <v>169.22076873606747</v>
      </c>
      <c r="BH34" s="59">
        <f t="shared" si="8"/>
        <v>462.55410206940076</v>
      </c>
      <c r="BI34" s="59">
        <f ca="1">AVERAGE(OFFSET($BH$3,0,0,'Données projet'!$E$11+1,1))-AVERAGE(OFFSET($H$3,0,0,'Données projet'!$E$11+1,1))</f>
        <v>277.20405719540543</v>
      </c>
      <c r="BJ34" s="59">
        <f t="shared" si="38"/>
        <v>231.36959598460686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>
        <f>VLOOKUP(A34,'Données projet'!$A$113:$I$133,2,0)</f>
        <v>155</v>
      </c>
      <c r="BW34" s="12">
        <f>VLOOKUP(A34,'Données projet'!$A$113:$I$133,9,0)</f>
        <v>11.5</v>
      </c>
      <c r="BX34" s="12">
        <f t="array" ref="BX34">INDEX(BW:BW,MIN(IF(ISNUMBER(BW34:BW230),ROW(BW34:BW230),"")))</f>
        <v>11.5</v>
      </c>
      <c r="BY34" s="12">
        <f>IF('Données projet'!$A$114&gt;35,BY33+BX34-CG33,IF(A34&lt;'Données projet'!$A$114,$BV$205^A34,IF(A34='Données projet'!$A$114,'Données projet'!$B$114,BY33+BX34-CG33)))</f>
        <v>154.99999999999994</v>
      </c>
      <c r="BZ34" s="13">
        <f>BY34*VLOOKUP('Données projet'!$B$12,Paramètres!$A$1:$I$89,3,0)*VLOOKUP('Données projet'!$B$12,Paramètres!$A$1:$I$89,5,0)</f>
        <v>120.89999999999996</v>
      </c>
      <c r="CA34" s="13">
        <f t="shared" si="39"/>
        <v>31.884818143351602</v>
      </c>
      <c r="CB34" s="20">
        <f t="shared" si="10"/>
        <v>266.10022493300397</v>
      </c>
      <c r="CC34" s="59">
        <f t="shared" si="11"/>
        <v>559.43355826633729</v>
      </c>
      <c r="CD34" s="59">
        <f ca="1">AVERAGE(OFFSET($CC$3,0,0,'Données projet'!$E$12+1,1))-AVERAGE(OFFSET($H$3,0,0,'Données projet'!$E$12+1,1))</f>
        <v>288.82868507674738</v>
      </c>
      <c r="CE34" s="59">
        <f t="shared" si="40"/>
        <v>283.48738729114024</v>
      </c>
      <c r="CF34" s="15">
        <f>IF(ISNA(VLOOKUP(A34,'Données projet'!$A$113:$I$133,3,0)),0,VLOOKUP(A34,'Données projet'!$A$113:$I$133,3,0))</f>
        <v>4</v>
      </c>
      <c r="CG34" s="15">
        <f>IF(ISNA(VLOOKUP(A34,'Données projet'!$A$113:$I$133,4,0)),0,VLOOKUP(A34,'Données projet'!$A$113:$I$133,4,0))</f>
        <v>36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3.0498384032953521</v>
      </c>
      <c r="CM34" s="21">
        <f>EXP(-LN(2)/2)*CM33+(1-EXP(-LN(2)/2))/(LN(2)/2)*CG34*CJ34*VLOOKUP('Données projet'!$B$12,Paramètres!$A$1:$I$89,3,0)*0.475*44/12</f>
        <v>2.3123151434393252</v>
      </c>
      <c r="CN34" s="22">
        <f t="shared" si="12"/>
        <v>5.3621535467346773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12.8</v>
      </c>
      <c r="N35" s="13">
        <f>IF('Données projet'!$A$36&gt;35,N34+M35-V34,IF(A35&lt;'Données projet'!$A$36,$K$205^A35,IF(A35='Données projet'!$A$36,'Données projet'!$B$36,N34+M35-V34)))</f>
        <v>136.60000000000002</v>
      </c>
      <c r="O35" s="13">
        <f>N35*VLOOKUP('Données projet'!$B$9,Paramètres!$A$1:$I$89,3,0)*VLOOKUP('Données projet'!$B$9,Paramètres!$A$1:$I$89,5,0)</f>
        <v>100.15512000000003</v>
      </c>
      <c r="P35" s="13">
        <f t="shared" si="33"/>
        <v>26.998949414913174</v>
      </c>
      <c r="Q35" s="20">
        <f t="shared" ref="Q35:Q66" si="53">(O35+P35)*0.475*44/12</f>
        <v>221.46000423097382</v>
      </c>
      <c r="R35" s="59">
        <f t="shared" si="0"/>
        <v>514.79333756430719</v>
      </c>
      <c r="S35" s="59">
        <f ca="1">AVERAGE(OFFSET($R$3,0,0,'Données projet'!$E$9+1,1))-AVERAGE(OFFSET($H$3,0,0,'Données projet'!$E$9+1,1))</f>
        <v>193.60868637458515</v>
      </c>
      <c r="T35" s="59">
        <f t="shared" si="34"/>
        <v>272.97841038165217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139.6</v>
      </c>
      <c r="AJ35" s="13">
        <f>AI35*VLOOKUP('Données projet'!$B$10,Paramètres!$A$1:$I$89,3,0)*VLOOKUP('Données projet'!$B$10,Paramètres!$A$1:$I$89,5,0)</f>
        <v>111.06576</v>
      </c>
      <c r="AK35" s="13">
        <f t="shared" si="35"/>
        <v>29.581944857062648</v>
      </c>
      <c r="AL35" s="20">
        <f t="shared" si="4"/>
        <v>244.96141929271744</v>
      </c>
      <c r="AM35" s="59">
        <f t="shared" si="5"/>
        <v>538.29475262605069</v>
      </c>
      <c r="AN35" s="59">
        <f ca="1">AVERAGE(OFFSET($AM$3,0,0,'Données projet'!$E$10+1,1))-AVERAGE(OFFSET($H$3,0,0,'Données projet'!$E$10+1,1))</f>
        <v>238.56893947183841</v>
      </c>
      <c r="AO35" s="59">
        <f t="shared" si="36"/>
        <v>292.57799203101769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</v>
      </c>
      <c r="BD35" s="12">
        <f>IF('Données projet'!$A$88&gt;35,BD34+BC35-BL34,IF(A35&lt;'Données projet'!$A$88,$BA$205^A35,IF(A35='Données projet'!$A$88,'Données projet'!$B$88,BD34+BC35-BL34)))</f>
        <v>92</v>
      </c>
      <c r="BE35" s="13">
        <f>BD35*VLOOKUP('Données projet'!$B$11,Paramètres!$A$1:$I$89,3,0)*VLOOKUP('Données projet'!$B$11,Paramètres!$A$1:$I$89,5,0)</f>
        <v>83.241600000000005</v>
      </c>
      <c r="BF35" s="13">
        <f t="shared" si="37"/>
        <v>22.927930643846508</v>
      </c>
      <c r="BG35" s="20">
        <f t="shared" si="7"/>
        <v>184.91193253803269</v>
      </c>
      <c r="BH35" s="59">
        <f t="shared" si="8"/>
        <v>478.24526587136597</v>
      </c>
      <c r="BI35" s="59">
        <f ca="1">AVERAGE(OFFSET($BH$3,0,0,'Données projet'!$E$11+1,1))-AVERAGE(OFFSET($H$3,0,0,'Données projet'!$E$11+1,1))</f>
        <v>277.20405719540543</v>
      </c>
      <c r="BJ35" s="59">
        <f t="shared" si="38"/>
        <v>231.36959598460686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11.5</v>
      </c>
      <c r="BY35" s="12">
        <f>IF('Données projet'!$A$114&gt;35,BY34+BX35-CG34,IF(A35&lt;'Données projet'!$A$114,$BV$205^A35,IF(A35='Données projet'!$A$114,'Données projet'!$B$114,BY34+BX35-CG34)))</f>
        <v>130.49999999999994</v>
      </c>
      <c r="BZ35" s="13">
        <f>BY35*VLOOKUP('Données projet'!$B$12,Paramètres!$A$1:$I$89,3,0)*VLOOKUP('Données projet'!$B$12,Paramètres!$A$1:$I$89,5,0)</f>
        <v>101.78999999999996</v>
      </c>
      <c r="CA35" s="13">
        <f t="shared" si="39"/>
        <v>27.38799903683508</v>
      </c>
      <c r="CB35" s="20">
        <f t="shared" si="10"/>
        <v>224.98501498915437</v>
      </c>
      <c r="CC35" s="59">
        <f t="shared" si="11"/>
        <v>518.31834832248774</v>
      </c>
      <c r="CD35" s="59">
        <f ca="1">AVERAGE(OFFSET($CC$3,0,0,'Données projet'!$E$12+1,1))-AVERAGE(OFFSET($H$3,0,0,'Données projet'!$E$12+1,1))</f>
        <v>288.82868507674738</v>
      </c>
      <c r="CE35" s="59">
        <f t="shared" si="40"/>
        <v>283.48738729114024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2.9664404117732097</v>
      </c>
      <c r="CM35" s="21">
        <f>EXP(-LN(2)/2)*CM34+(1-EXP(-LN(2)/2))/(LN(2)/2)*CG35*CJ35*VLOOKUP('Données projet'!$B$12,Paramètres!$A$1:$I$89,3,0)*0.475*44/12</f>
        <v>1.6350537181662912</v>
      </c>
      <c r="CN35" s="22">
        <f t="shared" si="12"/>
        <v>4.6014941299395007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12.8</v>
      </c>
      <c r="N36" s="13">
        <f>IF('Données projet'!$A$36&gt;35,N35+M36-V35,IF(A36&lt;'Données projet'!$A$36,$K$205^A36,IF(A36='Données projet'!$A$36,'Données projet'!$B$36,N35+M36-V35)))</f>
        <v>149.40000000000003</v>
      </c>
      <c r="O36" s="13">
        <f>N36*VLOOKUP('Données projet'!$B$9,Paramètres!$A$1:$I$89,3,0)*VLOOKUP('Données projet'!$B$9,Paramètres!$A$1:$I$89,5,0)</f>
        <v>109.54008000000003</v>
      </c>
      <c r="P36" s="13">
        <f t="shared" si="33"/>
        <v>29.222597423750106</v>
      </c>
      <c r="Q36" s="20">
        <f t="shared" si="53"/>
        <v>241.67832984636482</v>
      </c>
      <c r="R36" s="59">
        <f t="shared" si="0"/>
        <v>535.01166317969819</v>
      </c>
      <c r="S36" s="59">
        <f ca="1">AVERAGE(OFFSET($R$3,0,0,'Données projet'!$E$9+1,1))-AVERAGE(OFFSET($H$3,0,0,'Données projet'!$E$9+1,1))</f>
        <v>193.60868637458515</v>
      </c>
      <c r="T36" s="59">
        <f t="shared" si="34"/>
        <v>272.97841038165217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150.4</v>
      </c>
      <c r="AJ36" s="13">
        <f>AI36*VLOOKUP('Données projet'!$B$10,Paramètres!$A$1:$I$89,3,0)*VLOOKUP('Données projet'!$B$10,Paramètres!$A$1:$I$89,5,0)</f>
        <v>119.65824000000002</v>
      </c>
      <c r="AK36" s="13">
        <f t="shared" si="35"/>
        <v>31.595276160231336</v>
      </c>
      <c r="AL36" s="20">
        <f t="shared" si="4"/>
        <v>263.43320731240294</v>
      </c>
      <c r="AM36" s="59">
        <f t="shared" si="5"/>
        <v>556.76654064573631</v>
      </c>
      <c r="AN36" s="59">
        <f ca="1">AVERAGE(OFFSET($AM$3,0,0,'Données projet'!$E$10+1,1))-AVERAGE(OFFSET($H$3,0,0,'Données projet'!$E$10+1,1))</f>
        <v>238.56893947183841</v>
      </c>
      <c r="AO36" s="59">
        <f t="shared" si="36"/>
        <v>292.57799203101769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</v>
      </c>
      <c r="BD36" s="12">
        <f>IF('Données projet'!$A$88&gt;35,BD35+BC36-BL35,IF(A36&lt;'Données projet'!$A$88,$BA$205^A36,IF(A36='Données projet'!$A$88,'Données projet'!$B$88,BD35+BC36-BL35)))</f>
        <v>100</v>
      </c>
      <c r="BE36" s="13">
        <f>BD36*VLOOKUP('Données projet'!$B$11,Paramètres!$A$1:$I$89,3,0)*VLOOKUP('Données projet'!$B$11,Paramètres!$A$1:$I$89,5,0)</f>
        <v>90.47999999999999</v>
      </c>
      <c r="BF36" s="13">
        <f t="shared" si="37"/>
        <v>24.680953573367994</v>
      </c>
      <c r="BG36" s="20">
        <f t="shared" si="7"/>
        <v>200.57199414028256</v>
      </c>
      <c r="BH36" s="59">
        <f t="shared" si="8"/>
        <v>493.9053274736159</v>
      </c>
      <c r="BI36" s="59">
        <f ca="1">AVERAGE(OFFSET($BH$3,0,0,'Données projet'!$E$11+1,1))-AVERAGE(OFFSET($H$3,0,0,'Données projet'!$E$11+1,1))</f>
        <v>277.20405719540543</v>
      </c>
      <c r="BJ36" s="59">
        <f t="shared" si="38"/>
        <v>231.36959598460686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11.5</v>
      </c>
      <c r="BY36" s="12">
        <f>IF('Données projet'!$A$114&gt;35,BY35+BX36-CG35,IF(A36&lt;'Données projet'!$A$114,$BV$205^A36,IF(A36='Données projet'!$A$114,'Données projet'!$B$114,BY35+BX36-CG35)))</f>
        <v>141.99999999999994</v>
      </c>
      <c r="BZ36" s="13">
        <f>BY36*VLOOKUP('Données projet'!$B$12,Paramètres!$A$1:$I$89,3,0)*VLOOKUP('Données projet'!$B$12,Paramètres!$A$1:$I$89,5,0)</f>
        <v>110.75999999999996</v>
      </c>
      <c r="CA36" s="13">
        <f t="shared" si="39"/>
        <v>29.509974682362923</v>
      </c>
      <c r="CB36" s="20">
        <f t="shared" si="10"/>
        <v>244.30353923844871</v>
      </c>
      <c r="CC36" s="59">
        <f t="shared" si="11"/>
        <v>537.63687257178208</v>
      </c>
      <c r="CD36" s="59">
        <f ca="1">AVERAGE(OFFSET($CC$3,0,0,'Données projet'!$E$12+1,1))-AVERAGE(OFFSET($H$3,0,0,'Données projet'!$E$12+1,1))</f>
        <v>288.82868507674738</v>
      </c>
      <c r="CE36" s="59">
        <f t="shared" si="40"/>
        <v>283.48738729114024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2.88532294271495</v>
      </c>
      <c r="CM36" s="21">
        <f>EXP(-LN(2)/2)*CM35+(1-EXP(-LN(2)/2))/(LN(2)/2)*CG36*CJ36*VLOOKUP('Données projet'!$B$12,Paramètres!$A$1:$I$89,3,0)*0.475*44/12</f>
        <v>1.1561575717196626</v>
      </c>
      <c r="CN36" s="22">
        <f t="shared" si="12"/>
        <v>4.0414805144346122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12.8</v>
      </c>
      <c r="N37" s="13">
        <f>IF('Données projet'!$A$36&gt;35,N36+M37-V36,IF(A37&lt;'Données projet'!$A$36,$K$205^A37,IF(A37='Données projet'!$A$36,'Données projet'!$B$36,N36+M37-V36)))</f>
        <v>162.20000000000005</v>
      </c>
      <c r="O37" s="13">
        <f>N37*VLOOKUP('Données projet'!$B$9,Paramètres!$A$1:$I$89,3,0)*VLOOKUP('Données projet'!$B$9,Paramètres!$A$1:$I$89,5,0)</f>
        <v>118.92504000000004</v>
      </c>
      <c r="P37" s="13">
        <f t="shared" si="33"/>
        <v>31.424151376563206</v>
      </c>
      <c r="Q37" s="20">
        <f t="shared" si="53"/>
        <v>261.85817498084765</v>
      </c>
      <c r="R37" s="59">
        <f t="shared" si="0"/>
        <v>555.19150831418096</v>
      </c>
      <c r="S37" s="59">
        <f ca="1">AVERAGE(OFFSET($R$3,0,0,'Données projet'!$E$9+1,1))-AVERAGE(OFFSET($H$3,0,0,'Données projet'!$E$9+1,1))</f>
        <v>193.60868637458515</v>
      </c>
      <c r="T37" s="59">
        <f t="shared" si="34"/>
        <v>272.97841038165217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161.20000000000002</v>
      </c>
      <c r="AJ37" s="13">
        <f>AI37*VLOOKUP('Données projet'!$B$10,Paramètres!$A$1:$I$89,3,0)*VLOOKUP('Données projet'!$B$10,Paramètres!$A$1:$I$89,5,0)</f>
        <v>128.25072</v>
      </c>
      <c r="AK37" s="13">
        <f t="shared" si="35"/>
        <v>33.591833937449593</v>
      </c>
      <c r="AL37" s="20">
        <f t="shared" si="4"/>
        <v>281.875781441058</v>
      </c>
      <c r="AM37" s="59">
        <f t="shared" si="5"/>
        <v>575.20911477439131</v>
      </c>
      <c r="AN37" s="59">
        <f ca="1">AVERAGE(OFFSET($AM$3,0,0,'Données projet'!$E$10+1,1))-AVERAGE(OFFSET($H$3,0,0,'Données projet'!$E$10+1,1))</f>
        <v>238.56893947183841</v>
      </c>
      <c r="AO37" s="59">
        <f t="shared" si="36"/>
        <v>292.57799203101769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</v>
      </c>
      <c r="BD37" s="12">
        <f>IF('Données projet'!$A$88&gt;35,BD36+BC37-BL36,IF(A37&lt;'Données projet'!$A$88,$BA$205^A37,IF(A37='Données projet'!$A$88,'Données projet'!$B$88,BD36+BC37-BL36)))</f>
        <v>108</v>
      </c>
      <c r="BE37" s="13">
        <f>BD37*VLOOKUP('Données projet'!$B$11,Paramètres!$A$1:$I$89,3,0)*VLOOKUP('Données projet'!$B$11,Paramètres!$A$1:$I$89,5,0)</f>
        <v>97.718399999999988</v>
      </c>
      <c r="BF37" s="13">
        <f t="shared" si="37"/>
        <v>26.417709819192194</v>
      </c>
      <c r="BG37" s="20">
        <f t="shared" si="7"/>
        <v>216.20372460175972</v>
      </c>
      <c r="BH37" s="59">
        <f t="shared" si="8"/>
        <v>509.537057935093</v>
      </c>
      <c r="BI37" s="59">
        <f ca="1">AVERAGE(OFFSET($BH$3,0,0,'Données projet'!$E$11+1,1))-AVERAGE(OFFSET($H$3,0,0,'Données projet'!$E$11+1,1))</f>
        <v>277.20405719540543</v>
      </c>
      <c r="BJ37" s="59">
        <f t="shared" si="38"/>
        <v>231.36959598460686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11.5</v>
      </c>
      <c r="BY37" s="12">
        <f>IF('Données projet'!$A$114&gt;35,BY36+BX37-CG36,IF(A37&lt;'Données projet'!$A$114,$BV$205^A37,IF(A37='Données projet'!$A$114,'Données projet'!$B$114,BY36+BX37-CG36)))</f>
        <v>153.49999999999994</v>
      </c>
      <c r="BZ37" s="13">
        <f>BY37*VLOOKUP('Données projet'!$B$12,Paramètres!$A$1:$I$89,3,0)*VLOOKUP('Données projet'!$B$12,Paramètres!$A$1:$I$89,5,0)</f>
        <v>119.72999999999996</v>
      </c>
      <c r="CA37" s="13">
        <f t="shared" si="39"/>
        <v>31.612017974790529</v>
      </c>
      <c r="CB37" s="20">
        <f t="shared" si="10"/>
        <v>263.58734797276003</v>
      </c>
      <c r="CC37" s="59">
        <f t="shared" si="11"/>
        <v>556.92068130609334</v>
      </c>
      <c r="CD37" s="59">
        <f ca="1">AVERAGE(OFFSET($CC$3,0,0,'Données projet'!$E$12+1,1))-AVERAGE(OFFSET($H$3,0,0,'Données projet'!$E$12+1,1))</f>
        <v>288.82868507674738</v>
      </c>
      <c r="CE37" s="59">
        <f t="shared" si="40"/>
        <v>283.48738729114024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2.8064236351138705</v>
      </c>
      <c r="CM37" s="21">
        <f>EXP(-LN(2)/2)*CM36+(1-EXP(-LN(2)/2))/(LN(2)/2)*CG37*CJ37*VLOOKUP('Données projet'!$B$12,Paramètres!$A$1:$I$89,3,0)*0.475*44/12</f>
        <v>0.8175268590831456</v>
      </c>
      <c r="CN37" s="22">
        <f t="shared" si="12"/>
        <v>3.623950494197016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175</v>
      </c>
      <c r="L38" s="12">
        <f>VLOOKUP(A38,'Données projet'!$A$35:$I$55,9,0)</f>
        <v>12.8</v>
      </c>
      <c r="M38" s="12">
        <f t="array" ref="M38">INDEX(L:L,MIN(IF(ISNUMBER(L38:L234),ROW(L38:L234),"")))</f>
        <v>12.8</v>
      </c>
      <c r="N38" s="13">
        <f>IF('Données projet'!$A$36&gt;35,N37+M38-V37,IF(A38&lt;'Données projet'!$A$36,$K$205^A38,IF(A38='Données projet'!$A$36,'Données projet'!$B$36,N37+M38-V37)))</f>
        <v>175.00000000000006</v>
      </c>
      <c r="O38" s="13">
        <f>N38*VLOOKUP('Données projet'!$B$9,Paramètres!$A$1:$I$89,3,0)*VLOOKUP('Données projet'!$B$9,Paramètres!$A$1:$I$89,5,0)</f>
        <v>128.31000000000006</v>
      </c>
      <c r="P38" s="13">
        <f t="shared" si="33"/>
        <v>33.605553053308078</v>
      </c>
      <c r="Q38" s="20">
        <f t="shared" si="53"/>
        <v>282.00292156784502</v>
      </c>
      <c r="R38" s="59">
        <f t="shared" si="0"/>
        <v>575.33625490117834</v>
      </c>
      <c r="S38" s="59">
        <f ca="1">AVERAGE(OFFSET($R$3,0,0,'Données projet'!$E$9+1,1))-AVERAGE(OFFSET($H$3,0,0,'Données projet'!$E$9+1,1))</f>
        <v>193.60868637458515</v>
      </c>
      <c r="T38" s="59">
        <f t="shared" si="34"/>
        <v>272.97841038165217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35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172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172.00000000000003</v>
      </c>
      <c r="AJ38" s="13">
        <f>AI38*VLOOKUP('Données projet'!$B$10,Paramètres!$A$1:$I$89,3,0)*VLOOKUP('Données projet'!$B$10,Paramètres!$A$1:$I$89,5,0)</f>
        <v>136.84320000000002</v>
      </c>
      <c r="AK38" s="13">
        <f t="shared" si="35"/>
        <v>35.572869837729648</v>
      </c>
      <c r="AL38" s="20">
        <f t="shared" si="4"/>
        <v>300.2913216340458</v>
      </c>
      <c r="AM38" s="59">
        <f t="shared" si="5"/>
        <v>593.62465496737912</v>
      </c>
      <c r="AN38" s="59">
        <f ca="1">AVERAGE(OFFSET($AM$3,0,0,'Données projet'!$E$10+1,1))-AVERAGE(OFFSET($H$3,0,0,'Données projet'!$E$10+1,1))</f>
        <v>238.56893947183841</v>
      </c>
      <c r="AO38" s="59">
        <f t="shared" si="36"/>
        <v>292.57799203101769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116</v>
      </c>
      <c r="BB38" s="12">
        <f>VLOOKUP(A38,'Données projet'!$A$87:$I$107,9,0)</f>
        <v>8</v>
      </c>
      <c r="BC38" s="12">
        <f t="array" ref="BC38">INDEX(BB:BB,MIN(IF(ISNUMBER(BB38:BB234),ROW(BB38:BB234),"")))</f>
        <v>8</v>
      </c>
      <c r="BD38" s="12">
        <f>IF('Données projet'!$A$88&gt;35,BD37+BC38-BL37,IF(A38&lt;'Données projet'!$A$88,$BA$205^A38,IF(A38='Données projet'!$A$88,'Données projet'!$B$88,BD37+BC38-BL37)))</f>
        <v>116</v>
      </c>
      <c r="BE38" s="13">
        <f>BD38*VLOOKUP('Données projet'!$B$11,Paramètres!$A$1:$I$89,3,0)*VLOOKUP('Données projet'!$B$11,Paramètres!$A$1:$I$89,5,0)</f>
        <v>104.9568</v>
      </c>
      <c r="BF38" s="13">
        <f t="shared" si="37"/>
        <v>28.139541339232373</v>
      </c>
      <c r="BG38" s="20">
        <f t="shared" si="7"/>
        <v>231.8094611658297</v>
      </c>
      <c r="BH38" s="59">
        <f t="shared" si="8"/>
        <v>525.14279449916307</v>
      </c>
      <c r="BI38" s="59">
        <f ca="1">AVERAGE(OFFSET($BH$3,0,0,'Données projet'!$E$11+1,1))-AVERAGE(OFFSET($H$3,0,0,'Données projet'!$E$11+1,1))</f>
        <v>277.20405719540543</v>
      </c>
      <c r="BJ38" s="59">
        <f t="shared" si="38"/>
        <v>231.36959598460686</v>
      </c>
      <c r="BK38" s="15">
        <f>IF(ISNA(VLOOKUP(A38,'Données projet'!$A$87:$I$107,3,0)),0,VLOOKUP(A38,'Données projet'!$A$87:$I$107,3,0))</f>
        <v>4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11.5</v>
      </c>
      <c r="BY38" s="12">
        <f>IF('Données projet'!$A$114&gt;35,BY37+BX38-CG37,IF(A38&lt;'Données projet'!$A$114,$BV$205^A38,IF(A38='Données projet'!$A$114,'Données projet'!$B$114,BY37+BX38-CG37)))</f>
        <v>164.99999999999994</v>
      </c>
      <c r="BZ38" s="13">
        <f>BY38*VLOOKUP('Données projet'!$B$12,Paramètres!$A$1:$I$89,3,0)*VLOOKUP('Données projet'!$B$12,Paramètres!$A$1:$I$89,5,0)</f>
        <v>128.69999999999996</v>
      </c>
      <c r="CA38" s="13">
        <f t="shared" si="39"/>
        <v>33.695792019186115</v>
      </c>
      <c r="CB38" s="20">
        <f t="shared" si="10"/>
        <v>282.83933776674911</v>
      </c>
      <c r="CC38" s="59">
        <f t="shared" si="11"/>
        <v>576.17267110008243</v>
      </c>
      <c r="CD38" s="59">
        <f ca="1">AVERAGE(OFFSET($CC$3,0,0,'Données projet'!$E$12+1,1))-AVERAGE(OFFSET($H$3,0,0,'Données projet'!$E$12+1,1))</f>
        <v>288.82868507674738</v>
      </c>
      <c r="CE38" s="59">
        <f t="shared" si="40"/>
        <v>283.48738729114024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2.7296818332282768</v>
      </c>
      <c r="CM38" s="21">
        <f>EXP(-LN(2)/2)*CM37+(1-EXP(-LN(2)/2))/(LN(2)/2)*CG38*CJ38*VLOOKUP('Données projet'!$B$12,Paramètres!$A$1:$I$89,3,0)*0.475*44/12</f>
        <v>0.5780787858598313</v>
      </c>
      <c r="CN38" s="22">
        <f t="shared" si="12"/>
        <v>3.3077606190881079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13.4</v>
      </c>
      <c r="N39" s="13">
        <f>IF('Données projet'!$A$36&gt;35,N38+M39-V38,IF(A39&lt;'Données projet'!$A$36,$K$205^A39,IF(A39='Données projet'!$A$36,'Données projet'!$B$36,N38+M39-V38)))</f>
        <v>153.40000000000006</v>
      </c>
      <c r="O39" s="13">
        <f>N39*VLOOKUP('Données projet'!$B$9,Paramètres!$A$1:$I$89,3,0)*VLOOKUP('Données projet'!$B$9,Paramètres!$A$1:$I$89,5,0)</f>
        <v>112.47288000000005</v>
      </c>
      <c r="P39" s="13">
        <f t="shared" si="33"/>
        <v>29.912858390551417</v>
      </c>
      <c r="Q39" s="20">
        <f t="shared" si="53"/>
        <v>247.98849436354377</v>
      </c>
      <c r="R39" s="59">
        <f t="shared" si="0"/>
        <v>541.32182769687711</v>
      </c>
      <c r="S39" s="59">
        <f ca="1">AVERAGE(OFFSET($R$3,0,0,'Données projet'!$E$9+1,1))-AVERAGE(OFFSET($H$3,0,0,'Données projet'!$E$9+1,1))</f>
        <v>193.60868637458515</v>
      </c>
      <c r="T39" s="59">
        <f t="shared" si="34"/>
        <v>272.97841038165217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9.6</v>
      </c>
      <c r="AI39" s="13">
        <f>IF('Données projet'!$A$62&gt;35,AI38+AH39-AQ38,IF(A39&lt;'Données projet'!$A$62,$AF$205^A39,IF(A39='Données projet'!$A$62,'Données projet'!$B$62,AI38+AH39-AQ38)))</f>
        <v>153.60000000000002</v>
      </c>
      <c r="AJ39" s="13">
        <f>AI39*VLOOKUP('Données projet'!$B$10,Paramètres!$A$1:$I$89,3,0)*VLOOKUP('Données projet'!$B$10,Paramètres!$A$1:$I$89,5,0)</f>
        <v>122.20416000000003</v>
      </c>
      <c r="AK39" s="13">
        <f t="shared" si="35"/>
        <v>32.188537573102472</v>
      </c>
      <c r="AL39" s="20">
        <f t="shared" si="4"/>
        <v>268.90061493982017</v>
      </c>
      <c r="AM39" s="59">
        <f t="shared" si="5"/>
        <v>562.23394827315349</v>
      </c>
      <c r="AN39" s="59">
        <f ca="1">AVERAGE(OFFSET($AM$3,0,0,'Données projet'!$E$10+1,1))-AVERAGE(OFFSET($H$3,0,0,'Données projet'!$E$10+1,1))</f>
        <v>238.56893947183841</v>
      </c>
      <c r="AO39" s="59">
        <f t="shared" si="36"/>
        <v>292.57799203101769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103.4</v>
      </c>
      <c r="BE39" s="13">
        <f>BD39*VLOOKUP('Données projet'!$B$11,Paramètres!$A$1:$I$89,3,0)*VLOOKUP('Données projet'!$B$11,Paramètres!$A$1:$I$89,5,0)</f>
        <v>93.556319999999999</v>
      </c>
      <c r="BF39" s="13">
        <f t="shared" si="37"/>
        <v>25.420979659258073</v>
      </c>
      <c r="BG39" s="20">
        <f t="shared" si="7"/>
        <v>207.21879690654114</v>
      </c>
      <c r="BH39" s="59">
        <f t="shared" si="8"/>
        <v>500.55213023987449</v>
      </c>
      <c r="BI39" s="59">
        <f ca="1">AVERAGE(OFFSET($BH$3,0,0,'Données projet'!$E$11+1,1))-AVERAGE(OFFSET($H$3,0,0,'Données projet'!$E$11+1,1))</f>
        <v>277.20405719540543</v>
      </c>
      <c r="BJ39" s="59">
        <f t="shared" si="38"/>
        <v>231.36959598460686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11.5</v>
      </c>
      <c r="BY39" s="12">
        <f>IF('Données projet'!$A$114&gt;35,BY38+BX39-CG38,IF(A39&lt;'Données projet'!$A$114,$BV$205^A39,IF(A39='Données projet'!$A$114,'Données projet'!$B$114,BY38+BX39-CG38)))</f>
        <v>176.49999999999994</v>
      </c>
      <c r="BZ39" s="13">
        <f>BY39*VLOOKUP('Données projet'!$B$12,Paramètres!$A$1:$I$89,3,0)*VLOOKUP('Données projet'!$B$12,Paramètres!$A$1:$I$89,5,0)</f>
        <v>137.66999999999996</v>
      </c>
      <c r="CA39" s="13">
        <f t="shared" si="39"/>
        <v>35.762714965854656</v>
      </c>
      <c r="CB39" s="20">
        <f t="shared" si="10"/>
        <v>302.06197856553007</v>
      </c>
      <c r="CC39" s="59">
        <f t="shared" si="11"/>
        <v>595.39531189886338</v>
      </c>
      <c r="CD39" s="59">
        <f ca="1">AVERAGE(OFFSET($CC$3,0,0,'Données projet'!$E$12+1,1))-AVERAGE(OFFSET($H$3,0,0,'Données projet'!$E$12+1,1))</f>
        <v>288.82868507674738</v>
      </c>
      <c r="CE39" s="59">
        <f t="shared" si="40"/>
        <v>283.48738729114024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2.6550385399509207</v>
      </c>
      <c r="CM39" s="21">
        <f>EXP(-LN(2)/2)*CM38+(1-EXP(-LN(2)/2))/(LN(2)/2)*CG39*CJ39*VLOOKUP('Données projet'!$B$12,Paramètres!$A$1:$I$89,3,0)*0.475*44/12</f>
        <v>0.4087634295415728</v>
      </c>
      <c r="CN39" s="22">
        <f t="shared" si="12"/>
        <v>3.0638019694924936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13.4</v>
      </c>
      <c r="N40" s="13">
        <f>IF('Données projet'!$A$36&gt;35,N39+M40-V39,IF(A40&lt;'Données projet'!$A$36,$K$205^A40,IF(A40='Données projet'!$A$36,'Données projet'!$B$36,N39+M40-V39)))</f>
        <v>166.80000000000007</v>
      </c>
      <c r="O40" s="13">
        <f>N40*VLOOKUP('Données projet'!$B$9,Paramètres!$A$1:$I$89,3,0)*VLOOKUP('Données projet'!$B$9,Paramètres!$A$1:$I$89,5,0)</f>
        <v>122.29776000000005</v>
      </c>
      <c r="P40" s="13">
        <f t="shared" si="33"/>
        <v>32.210321062919569</v>
      </c>
      <c r="Q40" s="20">
        <f t="shared" si="53"/>
        <v>269.10157451791832</v>
      </c>
      <c r="R40" s="59">
        <f t="shared" si="0"/>
        <v>562.43490785125164</v>
      </c>
      <c r="S40" s="59">
        <f ca="1">AVERAGE(OFFSET($R$3,0,0,'Données projet'!$E$9+1,1))-AVERAGE(OFFSET($H$3,0,0,'Données projet'!$E$9+1,1))</f>
        <v>193.60868637458515</v>
      </c>
      <c r="T40" s="59">
        <f t="shared" si="34"/>
        <v>272.97841038165217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9.6</v>
      </c>
      <c r="AI40" s="13">
        <f>IF('Données projet'!$A$62&gt;35,AI39+AH40-AQ39,IF(A40&lt;'Données projet'!$A$62,$AF$205^A40,IF(A40='Données projet'!$A$62,'Données projet'!$B$62,AI39+AH40-AQ39)))</f>
        <v>163.20000000000002</v>
      </c>
      <c r="AJ40" s="13">
        <f>AI40*VLOOKUP('Données projet'!$B$10,Paramètres!$A$1:$I$89,3,0)*VLOOKUP('Données projet'!$B$10,Paramètres!$A$1:$I$89,5,0)</f>
        <v>129.84192000000002</v>
      </c>
      <c r="AK40" s="13">
        <f t="shared" si="35"/>
        <v>33.959829099416851</v>
      </c>
      <c r="AL40" s="20">
        <f t="shared" si="4"/>
        <v>285.288046348151</v>
      </c>
      <c r="AM40" s="59">
        <f t="shared" si="5"/>
        <v>578.62137968148431</v>
      </c>
      <c r="AN40" s="59">
        <f ca="1">AVERAGE(OFFSET($AM$3,0,0,'Données projet'!$E$10+1,1))-AVERAGE(OFFSET($H$3,0,0,'Données projet'!$E$10+1,1))</f>
        <v>238.56893947183841</v>
      </c>
      <c r="AO40" s="59">
        <f t="shared" si="36"/>
        <v>292.57799203101769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111.80000000000001</v>
      </c>
      <c r="BE40" s="13">
        <f>BD40*VLOOKUP('Données projet'!$B$11,Paramètres!$A$1:$I$89,3,0)*VLOOKUP('Données projet'!$B$11,Paramètres!$A$1:$I$89,5,0)</f>
        <v>101.15664000000001</v>
      </c>
      <c r="BF40" s="13">
        <f t="shared" si="37"/>
        <v>27.237366379381644</v>
      </c>
      <c r="BG40" s="20">
        <f t="shared" si="7"/>
        <v>223.61956111075639</v>
      </c>
      <c r="BH40" s="59">
        <f t="shared" si="8"/>
        <v>516.95289444408968</v>
      </c>
      <c r="BI40" s="59">
        <f ca="1">AVERAGE(OFFSET($BH$3,0,0,'Données projet'!$E$11+1,1))-AVERAGE(OFFSET($H$3,0,0,'Données projet'!$E$11+1,1))</f>
        <v>277.20405719540543</v>
      </c>
      <c r="BJ40" s="59">
        <f t="shared" si="38"/>
        <v>231.36959598460686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188</v>
      </c>
      <c r="BW40" s="12">
        <f>VLOOKUP(A40,'Données projet'!$A$113:$I$133,9,0)</f>
        <v>11.5</v>
      </c>
      <c r="BX40" s="12">
        <f t="array" ref="BX40">INDEX(BW:BW,MIN(IF(ISNUMBER(BW40:BW236),ROW(BW40:BW236),"")))</f>
        <v>11.5</v>
      </c>
      <c r="BY40" s="12">
        <f>IF('Données projet'!$A$114&gt;35,BY39+BX40-CG39,IF(A40&lt;'Données projet'!$A$114,$BV$205^A40,IF(A40='Données projet'!$A$114,'Données projet'!$B$114,BY39+BX40-CG39)))</f>
        <v>187.99999999999994</v>
      </c>
      <c r="BZ40" s="13">
        <f>BY40*VLOOKUP('Données projet'!$B$12,Paramètres!$A$1:$I$89,3,0)*VLOOKUP('Données projet'!$B$12,Paramètres!$A$1:$I$89,5,0)</f>
        <v>146.63999999999996</v>
      </c>
      <c r="CA40" s="13">
        <f t="shared" si="39"/>
        <v>37.814009712703026</v>
      </c>
      <c r="CB40" s="20">
        <f t="shared" si="10"/>
        <v>321.25740024962437</v>
      </c>
      <c r="CC40" s="59">
        <f t="shared" si="11"/>
        <v>614.59073358295768</v>
      </c>
      <c r="CD40" s="59">
        <f ca="1">AVERAGE(OFFSET($CC$3,0,0,'Données projet'!$E$12+1,1))-AVERAGE(OFFSET($H$3,0,0,'Données projet'!$E$12+1,1))</f>
        <v>288.82868507674738</v>
      </c>
      <c r="CE40" s="59">
        <f t="shared" si="40"/>
        <v>283.48738729114024</v>
      </c>
      <c r="CF40" s="15">
        <f>IF(ISNA(VLOOKUP(A40,'Données projet'!$A$113:$I$133,3,0)),0,VLOOKUP(A40,'Données projet'!$A$113:$I$133,3,0))</f>
        <v>5</v>
      </c>
      <c r="CG40" s="15">
        <f>IF(ISNA(VLOOKUP(A40,'Données projet'!$A$113:$I$133,4,0)),0,VLOOKUP(A40,'Données projet'!$A$113:$I$133,4,0))</f>
        <v>36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2.5824363714535541</v>
      </c>
      <c r="CM40" s="21">
        <f>EXP(-LN(2)/2)*CM39+(1-EXP(-LN(2)/2))/(LN(2)/2)*CG40*CJ40*VLOOKUP('Données projet'!$B$12,Paramètres!$A$1:$I$89,3,0)*0.475*44/12</f>
        <v>0.28903939292991565</v>
      </c>
      <c r="CN40" s="22">
        <f t="shared" si="12"/>
        <v>2.8714757643834696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13.4</v>
      </c>
      <c r="N41" s="13">
        <f>IF('Données projet'!$A$36&gt;35,N40+M41-V40,IF(A41&lt;'Données projet'!$A$36,$K$205^A41,IF(A41='Données projet'!$A$36,'Données projet'!$B$36,N40+M41-V40)))</f>
        <v>180.20000000000007</v>
      </c>
      <c r="O41" s="13">
        <f>N41*VLOOKUP('Données projet'!$B$9,Paramètres!$A$1:$I$89,3,0)*VLOOKUP('Données projet'!$B$9,Paramètres!$A$1:$I$89,5,0)</f>
        <v>132.12264000000005</v>
      </c>
      <c r="P41" s="13">
        <f t="shared" si="33"/>
        <v>34.486375824149725</v>
      </c>
      <c r="Q41" s="20">
        <f t="shared" si="53"/>
        <v>290.17736922706086</v>
      </c>
      <c r="R41" s="59">
        <f t="shared" si="0"/>
        <v>583.51070256039418</v>
      </c>
      <c r="S41" s="59">
        <f ca="1">AVERAGE(OFFSET($R$3,0,0,'Données projet'!$E$9+1,1))-AVERAGE(OFFSET($H$3,0,0,'Données projet'!$E$9+1,1))</f>
        <v>193.60868637458515</v>
      </c>
      <c r="T41" s="59">
        <f t="shared" si="34"/>
        <v>272.97841038165217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9.6</v>
      </c>
      <c r="AI41" s="13">
        <f>IF('Données projet'!$A$62&gt;35,AI40+AH41-AQ40,IF(A41&lt;'Données projet'!$A$62,$AF$205^A41,IF(A41='Données projet'!$A$62,'Données projet'!$B$62,AI40+AH41-AQ40)))</f>
        <v>172.8</v>
      </c>
      <c r="AJ41" s="13">
        <f>AI41*VLOOKUP('Données projet'!$B$10,Paramètres!$A$1:$I$89,3,0)*VLOOKUP('Données projet'!$B$10,Paramètres!$A$1:$I$89,5,0)</f>
        <v>137.47968000000003</v>
      </c>
      <c r="AK41" s="13">
        <f t="shared" si="35"/>
        <v>35.719026553355249</v>
      </c>
      <c r="AL41" s="20">
        <f t="shared" si="4"/>
        <v>301.65441391376049</v>
      </c>
      <c r="AM41" s="59">
        <f t="shared" si="5"/>
        <v>594.98774724709381</v>
      </c>
      <c r="AN41" s="59">
        <f ca="1">AVERAGE(OFFSET($AM$3,0,0,'Données projet'!$E$10+1,1))-AVERAGE(OFFSET($H$3,0,0,'Données projet'!$E$10+1,1))</f>
        <v>238.56893947183841</v>
      </c>
      <c r="AO41" s="59">
        <f t="shared" si="36"/>
        <v>292.57799203101769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120.20000000000002</v>
      </c>
      <c r="BE41" s="13">
        <f>BD41*VLOOKUP('Données projet'!$B$11,Paramètres!$A$1:$I$89,3,0)*VLOOKUP('Données projet'!$B$11,Paramètres!$A$1:$I$89,5,0)</f>
        <v>108.75696000000002</v>
      </c>
      <c r="BF41" s="13">
        <f t="shared" si="37"/>
        <v>29.037921223305609</v>
      </c>
      <c r="BG41" s="20">
        <f t="shared" si="7"/>
        <v>239.99275146392395</v>
      </c>
      <c r="BH41" s="59">
        <f t="shared" si="8"/>
        <v>533.32608479725729</v>
      </c>
      <c r="BI41" s="59">
        <f ca="1">AVERAGE(OFFSET($BH$3,0,0,'Données projet'!$E$11+1,1))-AVERAGE(OFFSET($H$3,0,0,'Données projet'!$E$11+1,1))</f>
        <v>277.20405719540543</v>
      </c>
      <c r="BJ41" s="59">
        <f t="shared" si="38"/>
        <v>231.36959598460686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11.142857142857142</v>
      </c>
      <c r="BY41" s="12">
        <f>IF('Données projet'!$A$114&gt;35,BY40+BX41-CG40,IF(A41&lt;'Données projet'!$A$114,$BV$205^A41,IF(A41='Données projet'!$A$114,'Données projet'!$B$114,BY40+BX41-CG40)))</f>
        <v>163.14285714285708</v>
      </c>
      <c r="BZ41" s="13">
        <f>BY41*VLOOKUP('Données projet'!$B$12,Paramètres!$A$1:$I$89,3,0)*VLOOKUP('Données projet'!$B$12,Paramètres!$A$1:$I$89,5,0)</f>
        <v>127.25142857142853</v>
      </c>
      <c r="CA41" s="13">
        <f t="shared" si="39"/>
        <v>33.360457439554281</v>
      </c>
      <c r="CB41" s="20">
        <f t="shared" si="10"/>
        <v>279.73236813579501</v>
      </c>
      <c r="CC41" s="59">
        <f t="shared" si="11"/>
        <v>573.06570146912827</v>
      </c>
      <c r="CD41" s="59">
        <f ca="1">AVERAGE(OFFSET($CC$3,0,0,'Données projet'!$E$12+1,1))-AVERAGE(OFFSET($H$3,0,0,'Données projet'!$E$12+1,1))</f>
        <v>288.82868507674738</v>
      </c>
      <c r="CE41" s="59">
        <f t="shared" si="40"/>
        <v>283.48738729114024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2.51181951307173</v>
      </c>
      <c r="CM41" s="21">
        <f>EXP(-LN(2)/2)*CM40+(1-EXP(-LN(2)/2))/(LN(2)/2)*CG41*CJ41*VLOOKUP('Données projet'!$B$12,Paramètres!$A$1:$I$89,3,0)*0.475*44/12</f>
        <v>0.2043817147707864</v>
      </c>
      <c r="CN41" s="22">
        <f t="shared" si="12"/>
        <v>2.7162012278425163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13.4</v>
      </c>
      <c r="N42" s="13">
        <f>IF('Données projet'!$A$36&gt;35,N41+M42-V41,IF(A42&lt;'Données projet'!$A$36,$K$205^A42,IF(A42='Données projet'!$A$36,'Données projet'!$B$36,N41+M42-V41)))</f>
        <v>193.60000000000008</v>
      </c>
      <c r="O42" s="13">
        <f>N42*VLOOKUP('Données projet'!$B$9,Paramètres!$A$1:$I$89,3,0)*VLOOKUP('Données projet'!$B$9,Paramètres!$A$1:$I$89,5,0)</f>
        <v>141.94752000000005</v>
      </c>
      <c r="P42" s="13">
        <f t="shared" si="33"/>
        <v>36.74279562732665</v>
      </c>
      <c r="Q42" s="20">
        <f t="shared" si="53"/>
        <v>311.21896638426068</v>
      </c>
      <c r="R42" s="59">
        <f t="shared" si="0"/>
        <v>604.552299717594</v>
      </c>
      <c r="S42" s="59">
        <f ca="1">AVERAGE(OFFSET($R$3,0,0,'Données projet'!$E$9+1,1))-AVERAGE(OFFSET($H$3,0,0,'Données projet'!$E$9+1,1))</f>
        <v>193.60868637458515</v>
      </c>
      <c r="T42" s="59">
        <f t="shared" si="34"/>
        <v>272.97841038165217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9.6</v>
      </c>
      <c r="AI42" s="13">
        <f>IF('Données projet'!$A$62&gt;35,AI41+AH42-AQ41,IF(A42&lt;'Données projet'!$A$62,$AF$205^A42,IF(A42='Données projet'!$A$62,'Données projet'!$B$62,AI41+AH42-AQ41)))</f>
        <v>182.4</v>
      </c>
      <c r="AJ42" s="13">
        <f>AI42*VLOOKUP('Données projet'!$B$10,Paramètres!$A$1:$I$89,3,0)*VLOOKUP('Données projet'!$B$10,Paramètres!$A$1:$I$89,5,0)</f>
        <v>145.11744000000002</v>
      </c>
      <c r="AK42" s="13">
        <f t="shared" si="35"/>
        <v>37.466878406916173</v>
      </c>
      <c r="AL42" s="20">
        <f t="shared" si="4"/>
        <v>318.00102122537902</v>
      </c>
      <c r="AM42" s="59">
        <f t="shared" si="5"/>
        <v>611.33435455871233</v>
      </c>
      <c r="AN42" s="59">
        <f ca="1">AVERAGE(OFFSET($AM$3,0,0,'Données projet'!$E$10+1,1))-AVERAGE(OFFSET($H$3,0,0,'Données projet'!$E$10+1,1))</f>
        <v>238.56893947183841</v>
      </c>
      <c r="AO42" s="59">
        <f t="shared" si="36"/>
        <v>292.57799203101769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128.60000000000002</v>
      </c>
      <c r="BE42" s="13">
        <f>BD42*VLOOKUP('Données projet'!$B$11,Paramètres!$A$1:$I$89,3,0)*VLOOKUP('Données projet'!$B$11,Paramètres!$A$1:$I$89,5,0)</f>
        <v>116.35728000000002</v>
      </c>
      <c r="BF42" s="13">
        <f t="shared" si="37"/>
        <v>30.823876427820704</v>
      </c>
      <c r="BG42" s="20">
        <f t="shared" si="7"/>
        <v>256.34051411178774</v>
      </c>
      <c r="BH42" s="59">
        <f t="shared" si="8"/>
        <v>549.67384744512105</v>
      </c>
      <c r="BI42" s="59">
        <f ca="1">AVERAGE(OFFSET($BH$3,0,0,'Données projet'!$E$11+1,1))-AVERAGE(OFFSET($H$3,0,0,'Données projet'!$E$11+1,1))</f>
        <v>277.20405719540543</v>
      </c>
      <c r="BJ42" s="59">
        <f t="shared" si="38"/>
        <v>231.36959598460686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11.142857142857142</v>
      </c>
      <c r="BY42" s="12">
        <f>IF('Données projet'!$A$114&gt;35,BY41+BX42-CG41,IF(A42&lt;'Données projet'!$A$114,$BV$205^A42,IF(A42='Données projet'!$A$114,'Données projet'!$B$114,BY41+BX42-CG41)))</f>
        <v>174.28571428571422</v>
      </c>
      <c r="BZ42" s="13">
        <f>BY42*VLOOKUP('Données projet'!$B$12,Paramètres!$A$1:$I$89,3,0)*VLOOKUP('Données projet'!$B$12,Paramètres!$A$1:$I$89,5,0)</f>
        <v>135.94285714285709</v>
      </c>
      <c r="CA42" s="13">
        <f t="shared" si="39"/>
        <v>35.365986273808367</v>
      </c>
      <c r="CB42" s="20">
        <f t="shared" si="10"/>
        <v>298.36290228402567</v>
      </c>
      <c r="CC42" s="59">
        <f t="shared" si="11"/>
        <v>591.69623561735898</v>
      </c>
      <c r="CD42" s="59">
        <f ca="1">AVERAGE(OFFSET($CC$3,0,0,'Données projet'!$E$12+1,1))-AVERAGE(OFFSET($H$3,0,0,'Données projet'!$E$12+1,1))</f>
        <v>288.82868507674738</v>
      </c>
      <c r="CE42" s="59">
        <f t="shared" si="40"/>
        <v>283.48738729114024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2.4431336763959361</v>
      </c>
      <c r="CM42" s="21">
        <f>EXP(-LN(2)/2)*CM41+(1-EXP(-LN(2)/2))/(LN(2)/2)*CG42*CJ42*VLOOKUP('Données projet'!$B$12,Paramètres!$A$1:$I$89,3,0)*0.475*44/12</f>
        <v>0.14451969646495783</v>
      </c>
      <c r="CN42" s="22">
        <f t="shared" si="12"/>
        <v>2.5876533728608941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207</v>
      </c>
      <c r="L43" s="12">
        <f>VLOOKUP(A43,'Données projet'!$A$35:$I$55,9,0)</f>
        <v>13.4</v>
      </c>
      <c r="M43" s="12">
        <f t="array" ref="M43">INDEX(L:L,MIN(IF(ISNUMBER(L43:L239),ROW(L43:L239),"")))</f>
        <v>13.4</v>
      </c>
      <c r="N43" s="13">
        <f>IF('Données projet'!$A$36&gt;35,N42+M43-V42,IF(A43&lt;'Données projet'!$A$36,$K$205^A43,IF(A43='Données projet'!$A$36,'Données projet'!$B$36,N42+M43-V42)))</f>
        <v>207.00000000000009</v>
      </c>
      <c r="O43" s="13">
        <f>N43*VLOOKUP('Données projet'!$B$9,Paramètres!$A$1:$I$89,3,0)*VLOOKUP('Données projet'!$B$9,Paramètres!$A$1:$I$89,5,0)</f>
        <v>151.77240000000006</v>
      </c>
      <c r="P43" s="13">
        <f t="shared" si="33"/>
        <v>38.981094100085443</v>
      </c>
      <c r="Q43" s="20">
        <f t="shared" si="53"/>
        <v>332.22900222431554</v>
      </c>
      <c r="R43" s="59">
        <f t="shared" si="0"/>
        <v>625.56233555764879</v>
      </c>
      <c r="S43" s="59">
        <f ca="1">AVERAGE(OFFSET($R$3,0,0,'Données projet'!$E$9+1,1))-AVERAGE(OFFSET($H$3,0,0,'Données projet'!$E$9+1,1))</f>
        <v>193.60868637458515</v>
      </c>
      <c r="T43" s="59">
        <f t="shared" si="34"/>
        <v>272.97841038165217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35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192</v>
      </c>
      <c r="AG43" s="12">
        <f>VLOOKUP(A43,'Données projet'!$A$61:$I$81,9,0)</f>
        <v>9.6</v>
      </c>
      <c r="AH43" s="12">
        <f t="array" ref="AH43">INDEX(AG:AG,MIN(IF(ISNUMBER(AG43:AG239),ROW(AG43:AG239),"")))</f>
        <v>9.6</v>
      </c>
      <c r="AI43" s="13">
        <f>IF('Données projet'!$A$62&gt;35,AI42+AH43-AQ42,IF(A43&lt;'Données projet'!$A$62,$AF$205^A43,IF(A43='Données projet'!$A$62,'Données projet'!$B$62,AI42+AH43-AQ42)))</f>
        <v>192</v>
      </c>
      <c r="AJ43" s="13">
        <f>AI43*VLOOKUP('Données projet'!$B$10,Paramètres!$A$1:$I$89,3,0)*VLOOKUP('Données projet'!$B$10,Paramètres!$A$1:$I$89,5,0)</f>
        <v>152.7552</v>
      </c>
      <c r="AK43" s="13">
        <f t="shared" si="35"/>
        <v>39.204049895729561</v>
      </c>
      <c r="AL43" s="20">
        <f t="shared" si="4"/>
        <v>334.32902690172892</v>
      </c>
      <c r="AM43" s="59">
        <f t="shared" si="5"/>
        <v>627.66236023506224</v>
      </c>
      <c r="AN43" s="59">
        <f ca="1">AVERAGE(OFFSET($AM$3,0,0,'Données projet'!$E$10+1,1))-AVERAGE(OFFSET($H$3,0,0,'Données projet'!$E$10+1,1))</f>
        <v>238.56893947183841</v>
      </c>
      <c r="AO43" s="59">
        <f t="shared" si="36"/>
        <v>292.57799203101769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137.00000000000003</v>
      </c>
      <c r="BE43" s="13">
        <f>BD43*VLOOKUP('Données projet'!$B$11,Paramètres!$A$1:$I$89,3,0)*VLOOKUP('Données projet'!$B$11,Paramètres!$A$1:$I$89,5,0)</f>
        <v>123.95760000000001</v>
      </c>
      <c r="BF43" s="13">
        <f t="shared" si="37"/>
        <v>32.59629414926458</v>
      </c>
      <c r="BG43" s="20">
        <f t="shared" si="7"/>
        <v>272.6646989766358</v>
      </c>
      <c r="BH43" s="59">
        <f t="shared" si="8"/>
        <v>565.99803230996918</v>
      </c>
      <c r="BI43" s="59">
        <f ca="1">AVERAGE(OFFSET($BH$3,0,0,'Données projet'!$E$11+1,1))-AVERAGE(OFFSET($H$3,0,0,'Données projet'!$E$11+1,1))</f>
        <v>277.20405719540543</v>
      </c>
      <c r="BJ43" s="59">
        <f t="shared" si="38"/>
        <v>231.36959598460686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11.142857142857142</v>
      </c>
      <c r="BY43" s="12">
        <f>IF('Données projet'!$A$114&gt;35,BY42+BX43-CG42,IF(A43&lt;'Données projet'!$A$114,$BV$205^A43,IF(A43='Données projet'!$A$114,'Données projet'!$B$114,BY42+BX43-CG42)))</f>
        <v>185.42857142857136</v>
      </c>
      <c r="BZ43" s="13">
        <f>BY43*VLOOKUP('Données projet'!$B$12,Paramètres!$A$1:$I$89,3,0)*VLOOKUP('Données projet'!$B$12,Paramètres!$A$1:$I$89,5,0)</f>
        <v>144.63428571428565</v>
      </c>
      <c r="CA43" s="13">
        <f t="shared" si="39"/>
        <v>37.356634728420524</v>
      </c>
      <c r="CB43" s="20">
        <f t="shared" si="10"/>
        <v>316.96751977104657</v>
      </c>
      <c r="CC43" s="59">
        <f t="shared" si="11"/>
        <v>610.30085310437994</v>
      </c>
      <c r="CD43" s="59">
        <f ca="1">AVERAGE(OFFSET($CC$3,0,0,'Données projet'!$E$12+1,1))-AVERAGE(OFFSET($H$3,0,0,'Données projet'!$E$12+1,1))</f>
        <v>288.82868507674738</v>
      </c>
      <c r="CE43" s="59">
        <f t="shared" si="40"/>
        <v>283.48738729114024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2.376326057536073</v>
      </c>
      <c r="CM43" s="21">
        <f>EXP(-LN(2)/2)*CM42+(1-EXP(-LN(2)/2))/(LN(2)/2)*CG43*CJ43*VLOOKUP('Données projet'!$B$12,Paramètres!$A$1:$I$89,3,0)*0.475*44/12</f>
        <v>0.1021908573853932</v>
      </c>
      <c r="CN43" s="22">
        <f t="shared" si="12"/>
        <v>2.4785169149214661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13.8</v>
      </c>
      <c r="N44" s="13">
        <f>IF('Données projet'!$A$36&gt;35,N43+M44-V43,IF(A44&lt;'Données projet'!$A$36,$K$205^A44,IF(A44='Données projet'!$A$36,'Données projet'!$B$36,N43+M44-V43)))</f>
        <v>185.8000000000001</v>
      </c>
      <c r="O44" s="13">
        <f>N44*VLOOKUP('Données projet'!$B$9,Paramètres!$A$1:$I$89,3,0)*VLOOKUP('Données projet'!$B$9,Paramètres!$A$1:$I$89,5,0)</f>
        <v>136.22856000000007</v>
      </c>
      <c r="P44" s="13">
        <f t="shared" si="33"/>
        <v>35.431653185018021</v>
      </c>
      <c r="Q44" s="20">
        <f t="shared" si="53"/>
        <v>298.97487129723987</v>
      </c>
      <c r="R44" s="59">
        <f t="shared" si="0"/>
        <v>592.30820463057319</v>
      </c>
      <c r="S44" s="59">
        <f ca="1">AVERAGE(OFFSET($R$3,0,0,'Données projet'!$E$9+1,1))-AVERAGE(OFFSET($H$3,0,0,'Données projet'!$E$9+1,1))</f>
        <v>193.60868637458515</v>
      </c>
      <c r="T44" s="59">
        <f t="shared" si="34"/>
        <v>272.97841038165217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8.1999999999999993</v>
      </c>
      <c r="AI44" s="13">
        <f>IF('Données projet'!$A$62&gt;35,AI43+AH44-AQ43,IF(A44&lt;'Données projet'!$A$62,$AF$205^A44,IF(A44='Données projet'!$A$62,'Données projet'!$B$62,AI43+AH44-AQ43)))</f>
        <v>172.2</v>
      </c>
      <c r="AJ44" s="13">
        <f>AI44*VLOOKUP('Données projet'!$B$10,Paramètres!$A$1:$I$89,3,0)*VLOOKUP('Données projet'!$B$10,Paramètres!$A$1:$I$89,5,0)</f>
        <v>137.00232</v>
      </c>
      <c r="AK44" s="13">
        <f t="shared" si="35"/>
        <v>35.609416420931346</v>
      </c>
      <c r="AL44" s="20">
        <f t="shared" si="4"/>
        <v>300.63210759978875</v>
      </c>
      <c r="AM44" s="59">
        <f t="shared" si="5"/>
        <v>593.96544093312207</v>
      </c>
      <c r="AN44" s="59">
        <f ca="1">AVERAGE(OFFSET($AM$3,0,0,'Données projet'!$E$10+1,1))-AVERAGE(OFFSET($H$3,0,0,'Données projet'!$E$10+1,1))</f>
        <v>238.56893947183841</v>
      </c>
      <c r="AO44" s="59">
        <f t="shared" si="36"/>
        <v>292.57799203101769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124.40000000000003</v>
      </c>
      <c r="BE44" s="13">
        <f>BD44*VLOOKUP('Données projet'!$B$11,Paramètres!$A$1:$I$89,3,0)*VLOOKUP('Données projet'!$B$11,Paramètres!$A$1:$I$89,5,0)</f>
        <v>112.55712000000003</v>
      </c>
      <c r="BF44" s="13">
        <f t="shared" si="37"/>
        <v>29.932653834140599</v>
      </c>
      <c r="BG44" s="20">
        <f t="shared" si="7"/>
        <v>248.16968942779496</v>
      </c>
      <c r="BH44" s="59">
        <f t="shared" si="8"/>
        <v>541.50302276112825</v>
      </c>
      <c r="BI44" s="59">
        <f ca="1">AVERAGE(OFFSET($BH$3,0,0,'Données projet'!$E$11+1,1))-AVERAGE(OFFSET($H$3,0,0,'Données projet'!$E$11+1,1))</f>
        <v>277.20405719540543</v>
      </c>
      <c r="BJ44" s="59">
        <f t="shared" si="38"/>
        <v>231.36959598460686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11.142857142857142</v>
      </c>
      <c r="BY44" s="12">
        <f>IF('Données projet'!$A$114&gt;35,BY43+BX44-CG43,IF(A44&lt;'Données projet'!$A$114,$BV$205^A44,IF(A44='Données projet'!$A$114,'Données projet'!$B$114,BY43+BX44-CG43)))</f>
        <v>196.5714285714285</v>
      </c>
      <c r="BZ44" s="13">
        <f>BY44*VLOOKUP('Données projet'!$B$12,Paramètres!$A$1:$I$89,3,0)*VLOOKUP('Données projet'!$B$12,Paramètres!$A$1:$I$89,5,0)</f>
        <v>153.32571428571424</v>
      </c>
      <c r="CA44" s="13">
        <f t="shared" si="39"/>
        <v>39.333398837614155</v>
      </c>
      <c r="CB44" s="20">
        <f t="shared" si="10"/>
        <v>335.5479553564636</v>
      </c>
      <c r="CC44" s="59">
        <f t="shared" si="11"/>
        <v>628.88128868979697</v>
      </c>
      <c r="CD44" s="59">
        <f ca="1">AVERAGE(OFFSET($CC$3,0,0,'Données projet'!$E$12+1,1))-AVERAGE(OFFSET($H$3,0,0,'Données projet'!$E$12+1,1))</f>
        <v>288.82868507674738</v>
      </c>
      <c r="CE44" s="59">
        <f t="shared" si="40"/>
        <v>283.48738729114024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2.3113452965271928</v>
      </c>
      <c r="CM44" s="21">
        <f>EXP(-LN(2)/2)*CM43+(1-EXP(-LN(2)/2))/(LN(2)/2)*CG44*CJ44*VLOOKUP('Données projet'!$B$12,Paramètres!$A$1:$I$89,3,0)*0.475*44/12</f>
        <v>7.2259848232478913E-2</v>
      </c>
      <c r="CN44" s="22">
        <f t="shared" si="12"/>
        <v>2.3836051447596716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13.8</v>
      </c>
      <c r="N45" s="13">
        <f>IF('Données projet'!$A$36&gt;35,N44+M45-V44,IF(A45&lt;'Données projet'!$A$36,$K$205^A45,IF(A45='Données projet'!$A$36,'Données projet'!$B$36,N44+M45-V44)))</f>
        <v>199.60000000000011</v>
      </c>
      <c r="O45" s="13">
        <f>N45*VLOOKUP('Données projet'!$B$9,Paramètres!$A$1:$I$89,3,0)*VLOOKUP('Données projet'!$B$9,Paramètres!$A$1:$I$89,5,0)</f>
        <v>146.34672000000006</v>
      </c>
      <c r="P45" s="13">
        <f t="shared" si="33"/>
        <v>37.747177010522961</v>
      </c>
      <c r="Q45" s="20">
        <f t="shared" si="53"/>
        <v>320.63020395999428</v>
      </c>
      <c r="R45" s="59">
        <f t="shared" si="0"/>
        <v>613.96353729332759</v>
      </c>
      <c r="S45" s="59">
        <f ca="1">AVERAGE(OFFSET($R$3,0,0,'Données projet'!$E$9+1,1))-AVERAGE(OFFSET($H$3,0,0,'Données projet'!$E$9+1,1))</f>
        <v>193.60868637458515</v>
      </c>
      <c r="T45" s="59">
        <f t="shared" si="34"/>
        <v>272.97841038165217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8.1999999999999993</v>
      </c>
      <c r="AI45" s="13">
        <f>IF('Données projet'!$A$62&gt;35,AI44+AH45-AQ44,IF(A45&lt;'Données projet'!$A$62,$AF$205^A45,IF(A45='Données projet'!$A$62,'Données projet'!$B$62,AI44+AH45-AQ44)))</f>
        <v>180.39999999999998</v>
      </c>
      <c r="AJ45" s="13">
        <f>AI45*VLOOKUP('Données projet'!$B$10,Paramètres!$A$1:$I$89,3,0)*VLOOKUP('Données projet'!$B$10,Paramètres!$A$1:$I$89,5,0)</f>
        <v>143.52624</v>
      </c>
      <c r="AK45" s="13">
        <f t="shared" si="35"/>
        <v>37.103644337236275</v>
      </c>
      <c r="AL45" s="20">
        <f t="shared" si="4"/>
        <v>314.59704855401981</v>
      </c>
      <c r="AM45" s="59">
        <f t="shared" si="5"/>
        <v>607.93038188735318</v>
      </c>
      <c r="AN45" s="59">
        <f ca="1">AVERAGE(OFFSET($AM$3,0,0,'Données projet'!$E$10+1,1))-AVERAGE(OFFSET($H$3,0,0,'Données projet'!$E$10+1,1))</f>
        <v>238.56893947183841</v>
      </c>
      <c r="AO45" s="59">
        <f t="shared" si="36"/>
        <v>292.57799203101769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132.80000000000004</v>
      </c>
      <c r="BE45" s="13">
        <f>BD45*VLOOKUP('Données projet'!$B$11,Paramètres!$A$1:$I$89,3,0)*VLOOKUP('Données projet'!$B$11,Paramètres!$A$1:$I$89,5,0)</f>
        <v>120.15744000000002</v>
      </c>
      <c r="BF45" s="13">
        <f t="shared" si="37"/>
        <v>31.711716786129845</v>
      </c>
      <c r="BG45" s="20">
        <f t="shared" si="7"/>
        <v>264.50544806917623</v>
      </c>
      <c r="BH45" s="59">
        <f t="shared" si="8"/>
        <v>557.83878140250954</v>
      </c>
      <c r="BI45" s="59">
        <f ca="1">AVERAGE(OFFSET($BH$3,0,0,'Données projet'!$E$11+1,1))-AVERAGE(OFFSET($H$3,0,0,'Données projet'!$E$11+1,1))</f>
        <v>277.20405719540543</v>
      </c>
      <c r="BJ45" s="59">
        <f t="shared" si="38"/>
        <v>231.36959598460686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11.142857142857142</v>
      </c>
      <c r="BY45" s="12">
        <f>IF('Données projet'!$A$114&gt;35,BY44+BX45-CG44,IF(A45&lt;'Données projet'!$A$114,$BV$205^A45,IF(A45='Données projet'!$A$114,'Données projet'!$B$114,BY44+BX45-CG44)))</f>
        <v>207.71428571428564</v>
      </c>
      <c r="BZ45" s="13">
        <f>BY45*VLOOKUP('Données projet'!$B$12,Paramètres!$A$1:$I$89,3,0)*VLOOKUP('Données projet'!$B$12,Paramètres!$A$1:$I$89,5,0)</f>
        <v>162.0171428571428</v>
      </c>
      <c r="CA45" s="13">
        <f t="shared" si="39"/>
        <v>41.29715533509664</v>
      </c>
      <c r="CB45" s="20">
        <f t="shared" si="10"/>
        <v>354.10573601815037</v>
      </c>
      <c r="CC45" s="59">
        <f t="shared" si="11"/>
        <v>647.43906935148368</v>
      </c>
      <c r="CD45" s="59">
        <f ca="1">AVERAGE(OFFSET($CC$3,0,0,'Données projet'!$E$12+1,1))-AVERAGE(OFFSET($H$3,0,0,'Données projet'!$E$12+1,1))</f>
        <v>288.82868507674738</v>
      </c>
      <c r="CE45" s="59">
        <f t="shared" si="40"/>
        <v>283.48738729114024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2.2481414378452902</v>
      </c>
      <c r="CM45" s="21">
        <f>EXP(-LN(2)/2)*CM44+(1-EXP(-LN(2)/2))/(LN(2)/2)*CG45*CJ45*VLOOKUP('Données projet'!$B$12,Paramètres!$A$1:$I$89,3,0)*0.475*44/12</f>
        <v>5.10954286926966E-2</v>
      </c>
      <c r="CN45" s="22">
        <f t="shared" si="12"/>
        <v>2.2992368665379868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13.8</v>
      </c>
      <c r="N46" s="13">
        <f>IF('Données projet'!$A$36&gt;35,N45+M46-V45,IF(A46&lt;'Données projet'!$A$36,$K$205^A46,IF(A46='Données projet'!$A$36,'Données projet'!$B$36,N45+M46-V45)))</f>
        <v>213.40000000000012</v>
      </c>
      <c r="O46" s="13">
        <f>N46*VLOOKUP('Données projet'!$B$9,Paramètres!$A$1:$I$89,3,0)*VLOOKUP('Données projet'!$B$9,Paramètres!$A$1:$I$89,5,0)</f>
        <v>156.46488000000008</v>
      </c>
      <c r="P46" s="13">
        <f t="shared" si="33"/>
        <v>40.044125372544926</v>
      </c>
      <c r="Q46" s="20">
        <f t="shared" si="53"/>
        <v>342.25318435718253</v>
      </c>
      <c r="R46" s="59">
        <f t="shared" si="0"/>
        <v>635.58651769051585</v>
      </c>
      <c r="S46" s="59">
        <f ca="1">AVERAGE(OFFSET($R$3,0,0,'Données projet'!$E$9+1,1))-AVERAGE(OFFSET($H$3,0,0,'Données projet'!$E$9+1,1))</f>
        <v>193.60868637458515</v>
      </c>
      <c r="T46" s="59">
        <f t="shared" si="34"/>
        <v>272.97841038165217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8.1999999999999993</v>
      </c>
      <c r="AI46" s="13">
        <f>IF('Données projet'!$A$62&gt;35,AI45+AH46-AQ45,IF(A46&lt;'Données projet'!$A$62,$AF$205^A46,IF(A46='Données projet'!$A$62,'Données projet'!$B$62,AI45+AH46-AQ45)))</f>
        <v>188.59999999999997</v>
      </c>
      <c r="AJ46" s="13">
        <f>AI46*VLOOKUP('Données projet'!$B$10,Paramètres!$A$1:$I$89,3,0)*VLOOKUP('Données projet'!$B$10,Paramètres!$A$1:$I$89,5,0)</f>
        <v>150.05015999999998</v>
      </c>
      <c r="AK46" s="13">
        <f t="shared" si="35"/>
        <v>38.589984439024569</v>
      </c>
      <c r="AL46" s="20">
        <f t="shared" si="4"/>
        <v>328.54825156463437</v>
      </c>
      <c r="AM46" s="59">
        <f t="shared" si="5"/>
        <v>621.88158489796774</v>
      </c>
      <c r="AN46" s="59">
        <f ca="1">AVERAGE(OFFSET($AM$3,0,0,'Données projet'!$E$10+1,1))-AVERAGE(OFFSET($H$3,0,0,'Données projet'!$E$10+1,1))</f>
        <v>238.56893947183841</v>
      </c>
      <c r="AO46" s="59">
        <f t="shared" si="36"/>
        <v>292.57799203101769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141.20000000000005</v>
      </c>
      <c r="BE46" s="13">
        <f>BD46*VLOOKUP('Données projet'!$B$11,Paramètres!$A$1:$I$89,3,0)*VLOOKUP('Données projet'!$B$11,Paramètres!$A$1:$I$89,5,0)</f>
        <v>127.75776000000003</v>
      </c>
      <c r="BF46" s="13">
        <f t="shared" si="37"/>
        <v>33.477720030956604</v>
      </c>
      <c r="BG46" s="20">
        <f t="shared" si="7"/>
        <v>280.81846105391611</v>
      </c>
      <c r="BH46" s="59">
        <f t="shared" si="8"/>
        <v>574.15179438724942</v>
      </c>
      <c r="BI46" s="59">
        <f ca="1">AVERAGE(OFFSET($BH$3,0,0,'Données projet'!$E$11+1,1))-AVERAGE(OFFSET($H$3,0,0,'Données projet'!$E$11+1,1))</f>
        <v>277.20405719540543</v>
      </c>
      <c r="BJ46" s="59">
        <f t="shared" si="38"/>
        <v>231.36959598460686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11.142857142857142</v>
      </c>
      <c r="BY46" s="12">
        <f>IF('Données projet'!$A$114&gt;35,BY45+BX46-CG45,IF(A46&lt;'Données projet'!$A$114,$BV$205^A46,IF(A46='Données projet'!$A$114,'Données projet'!$B$114,BY45+BX46-CG45)))</f>
        <v>218.85714285714278</v>
      </c>
      <c r="BZ46" s="13">
        <f>BY46*VLOOKUP('Données projet'!$B$12,Paramètres!$A$1:$I$89,3,0)*VLOOKUP('Données projet'!$B$12,Paramètres!$A$1:$I$89,5,0)</f>
        <v>170.70857142857136</v>
      </c>
      <c r="CA46" s="13">
        <f t="shared" si="39"/>
        <v>43.248681576985376</v>
      </c>
      <c r="CB46" s="20">
        <f t="shared" si="10"/>
        <v>372.64221565134466</v>
      </c>
      <c r="CC46" s="59">
        <f t="shared" si="11"/>
        <v>665.97554898467797</v>
      </c>
      <c r="CD46" s="59">
        <f ca="1">AVERAGE(OFFSET($CC$3,0,0,'Données projet'!$E$12+1,1))-AVERAGE(OFFSET($H$3,0,0,'Données projet'!$E$12+1,1))</f>
        <v>288.82868507674738</v>
      </c>
      <c r="CE46" s="59">
        <f t="shared" si="40"/>
        <v>283.48738729114024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2.1866658920027908</v>
      </c>
      <c r="CM46" s="21">
        <f>EXP(-LN(2)/2)*CM45+(1-EXP(-LN(2)/2))/(LN(2)/2)*CG46*CJ46*VLOOKUP('Données projet'!$B$12,Paramètres!$A$1:$I$89,3,0)*0.475*44/12</f>
        <v>3.6129924116239456E-2</v>
      </c>
      <c r="CN46" s="22">
        <f t="shared" si="12"/>
        <v>2.2227958161190302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13.8</v>
      </c>
      <c r="N47" s="13">
        <f>IF('Données projet'!$A$36&gt;35,N46+M47-V46,IF(A47&lt;'Données projet'!$A$36,$K$205^A47,IF(A47='Données projet'!$A$36,'Données projet'!$B$36,N46+M47-V46)))</f>
        <v>227.20000000000013</v>
      </c>
      <c r="O47" s="13">
        <f>N47*VLOOKUP('Données projet'!$B$9,Paramètres!$A$1:$I$89,3,0)*VLOOKUP('Données projet'!$B$9,Paramètres!$A$1:$I$89,5,0)</f>
        <v>166.58304000000007</v>
      </c>
      <c r="P47" s="13">
        <f t="shared" si="33"/>
        <v>42.323836208749285</v>
      </c>
      <c r="Q47" s="20">
        <f t="shared" si="53"/>
        <v>363.84614273023845</v>
      </c>
      <c r="R47" s="59">
        <f t="shared" si="0"/>
        <v>657.17947606357177</v>
      </c>
      <c r="S47" s="59">
        <f ca="1">AVERAGE(OFFSET($R$3,0,0,'Données projet'!$E$9+1,1))-AVERAGE(OFFSET($H$3,0,0,'Données projet'!$E$9+1,1))</f>
        <v>193.60868637458515</v>
      </c>
      <c r="T47" s="59">
        <f t="shared" si="34"/>
        <v>272.97841038165217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8.1999999999999993</v>
      </c>
      <c r="AI47" s="13">
        <f>IF('Données projet'!$A$62&gt;35,AI46+AH47-AQ46,IF(A47&lt;'Données projet'!$A$62,$AF$205^A47,IF(A47='Données projet'!$A$62,'Données projet'!$B$62,AI46+AH47-AQ46)))</f>
        <v>196.79999999999995</v>
      </c>
      <c r="AJ47" s="13">
        <f>AI47*VLOOKUP('Données projet'!$B$10,Paramètres!$A$1:$I$89,3,0)*VLOOKUP('Données projet'!$B$10,Paramètres!$A$1:$I$89,5,0)</f>
        <v>156.57407999999998</v>
      </c>
      <c r="AK47" s="13">
        <f t="shared" si="35"/>
        <v>40.068818872547467</v>
      </c>
      <c r="AL47" s="20">
        <f t="shared" si="4"/>
        <v>342.48638220302013</v>
      </c>
      <c r="AM47" s="59">
        <f t="shared" si="5"/>
        <v>635.81971553635344</v>
      </c>
      <c r="AN47" s="59">
        <f ca="1">AVERAGE(OFFSET($AM$3,0,0,'Données projet'!$E$10+1,1))-AVERAGE(OFFSET($H$3,0,0,'Données projet'!$E$10+1,1))</f>
        <v>238.56893947183841</v>
      </c>
      <c r="AO47" s="59">
        <f t="shared" si="36"/>
        <v>292.57799203101769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149.60000000000005</v>
      </c>
      <c r="BE47" s="13">
        <f>BD47*VLOOKUP('Données projet'!$B$11,Paramètres!$A$1:$I$89,3,0)*VLOOKUP('Données projet'!$B$11,Paramètres!$A$1:$I$89,5,0)</f>
        <v>135.35808000000006</v>
      </c>
      <c r="BF47" s="13">
        <f t="shared" si="37"/>
        <v>35.231528980112834</v>
      </c>
      <c r="BG47" s="20">
        <f t="shared" si="7"/>
        <v>297.11023564036327</v>
      </c>
      <c r="BH47" s="59">
        <f t="shared" si="8"/>
        <v>590.44356897369653</v>
      </c>
      <c r="BI47" s="59">
        <f ca="1">AVERAGE(OFFSET($BH$3,0,0,'Données projet'!$E$11+1,1))-AVERAGE(OFFSET($H$3,0,0,'Données projet'!$E$11+1,1))</f>
        <v>277.20405719540543</v>
      </c>
      <c r="BJ47" s="59">
        <f t="shared" si="38"/>
        <v>231.36959598460686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230</v>
      </c>
      <c r="BW47" s="12">
        <f>VLOOKUP(A47,'Données projet'!$A$113:$I$133,9,0)</f>
        <v>11.142857142857142</v>
      </c>
      <c r="BX47" s="12">
        <f t="array" ref="BX47">INDEX(BW:BW,MIN(IF(ISNUMBER(BW47:BW243),ROW(BW47:BW243),"")))</f>
        <v>11.142857142857142</v>
      </c>
      <c r="BY47" s="12">
        <f>IF('Données projet'!$A$114&gt;35,BY46+BX47-CG46,IF(A47&lt;'Données projet'!$A$114,$BV$205^A47,IF(A47='Données projet'!$A$114,'Données projet'!$B$114,BY46+BX47-CG46)))</f>
        <v>229.99999999999991</v>
      </c>
      <c r="BZ47" s="13">
        <f>BY47*VLOOKUP('Données projet'!$B$12,Paramètres!$A$1:$I$89,3,0)*VLOOKUP('Données projet'!$B$12,Paramètres!$A$1:$I$89,5,0)</f>
        <v>179.39999999999995</v>
      </c>
      <c r="CA47" s="13">
        <f t="shared" si="39"/>
        <v>45.188671291872232</v>
      </c>
      <c r="CB47" s="20">
        <f t="shared" si="10"/>
        <v>391.15860250001066</v>
      </c>
      <c r="CC47" s="59">
        <f t="shared" si="11"/>
        <v>684.49193583334397</v>
      </c>
      <c r="CD47" s="59">
        <f ca="1">AVERAGE(OFFSET($CC$3,0,0,'Données projet'!$E$12+1,1))-AVERAGE(OFFSET($H$3,0,0,'Données projet'!$E$12+1,1))</f>
        <v>288.82868507674738</v>
      </c>
      <c r="CE47" s="59">
        <f t="shared" si="40"/>
        <v>283.48738729114024</v>
      </c>
      <c r="CF47" s="15">
        <f>IF(ISNA(VLOOKUP(A47,'Données projet'!$A$113:$I$133,3,0)),0,VLOOKUP(A47,'Données projet'!$A$113:$I$133,3,0))</f>
        <v>6</v>
      </c>
      <c r="CG47" s="15">
        <f>IF(ISNA(VLOOKUP(A47,'Données projet'!$A$113:$I$133,4,0)),0,VLOOKUP(A47,'Données projet'!$A$113:$I$133,4,0))</f>
        <v>43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2.1268713981942131</v>
      </c>
      <c r="CM47" s="21">
        <f>EXP(-LN(2)/2)*CM46+(1-EXP(-LN(2)/2))/(LN(2)/2)*CG47*CJ47*VLOOKUP('Données projet'!$B$12,Paramètres!$A$1:$I$89,3,0)*0.475*44/12</f>
        <v>2.55477143463483E-2</v>
      </c>
      <c r="CN47" s="22">
        <f t="shared" si="12"/>
        <v>2.1524191125405614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241</v>
      </c>
      <c r="L48" s="12">
        <f>VLOOKUP(A48,'Données projet'!$A$35:$I$55,9,0)</f>
        <v>13.8</v>
      </c>
      <c r="M48" s="12">
        <f t="array" ref="M48">INDEX(L:L,MIN(IF(ISNUMBER(L48:L244),ROW(L48:L244),"")))</f>
        <v>13.8</v>
      </c>
      <c r="N48" s="13">
        <f>IF('Données projet'!$A$36&gt;35,N47+M48-V47,IF(A48&lt;'Données projet'!$A$36,$K$205^A48,IF(A48='Données projet'!$A$36,'Données projet'!$B$36,N47+M48-V47)))</f>
        <v>241.00000000000014</v>
      </c>
      <c r="O48" s="13">
        <f>N48*VLOOKUP('Données projet'!$B$9,Paramètres!$A$1:$I$89,3,0)*VLOOKUP('Données projet'!$B$9,Paramètres!$A$1:$I$89,5,0)</f>
        <v>176.70120000000011</v>
      </c>
      <c r="P48" s="13">
        <f t="shared" si="33"/>
        <v>44.587475741993387</v>
      </c>
      <c r="Q48" s="20">
        <f t="shared" si="53"/>
        <v>385.41111025063861</v>
      </c>
      <c r="R48" s="59">
        <f t="shared" si="0"/>
        <v>678.74444358397193</v>
      </c>
      <c r="S48" s="59">
        <f ca="1">AVERAGE(OFFSET($R$3,0,0,'Données projet'!$E$9+1,1))-AVERAGE(OFFSET($H$3,0,0,'Données projet'!$E$9+1,1))</f>
        <v>193.60868637458515</v>
      </c>
      <c r="T48" s="59">
        <f t="shared" si="34"/>
        <v>272.97841038165217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35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205</v>
      </c>
      <c r="AG48" s="12">
        <f>VLOOKUP(A48,'Données projet'!$A$61:$I$81,9,0)</f>
        <v>8.1999999999999993</v>
      </c>
      <c r="AH48" s="12">
        <f t="array" ref="AH48">INDEX(AG:AG,MIN(IF(ISNUMBER(AG48:AG244),ROW(AG48:AG244),"")))</f>
        <v>8.1999999999999993</v>
      </c>
      <c r="AI48" s="13">
        <f>IF('Données projet'!$A$62&gt;35,AI47+AH48-AQ47,IF(A48&lt;'Données projet'!$A$62,$AF$205^A48,IF(A48='Données projet'!$A$62,'Données projet'!$B$62,AI47+AH48-AQ47)))</f>
        <v>204.99999999999994</v>
      </c>
      <c r="AJ48" s="13">
        <f>AI48*VLOOKUP('Données projet'!$B$10,Paramètres!$A$1:$I$89,3,0)*VLOOKUP('Données projet'!$B$10,Paramètres!$A$1:$I$89,5,0)</f>
        <v>163.09799999999996</v>
      </c>
      <c r="AK48" s="13">
        <f t="shared" si="35"/>
        <v>41.540496136845142</v>
      </c>
      <c r="AL48" s="20">
        <f t="shared" si="4"/>
        <v>356.4120474383385</v>
      </c>
      <c r="AM48" s="59">
        <f t="shared" si="5"/>
        <v>649.74538077167176</v>
      </c>
      <c r="AN48" s="59">
        <f ca="1">AVERAGE(OFFSET($AM$3,0,0,'Données projet'!$E$10+1,1))-AVERAGE(OFFSET($H$3,0,0,'Données projet'!$E$10+1,1))</f>
        <v>238.56893947183841</v>
      </c>
      <c r="AO48" s="59">
        <f t="shared" si="36"/>
        <v>292.57799203101769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22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158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158.00000000000006</v>
      </c>
      <c r="BE48" s="13">
        <f>BD48*VLOOKUP('Données projet'!$B$11,Paramètres!$A$1:$I$89,3,0)*VLOOKUP('Données projet'!$B$11,Paramètres!$A$1:$I$89,5,0)</f>
        <v>142.95840000000004</v>
      </c>
      <c r="BF48" s="13">
        <f t="shared" si="37"/>
        <v>36.973906370811264</v>
      </c>
      <c r="BG48" s="20">
        <f t="shared" si="7"/>
        <v>313.38210026249641</v>
      </c>
      <c r="BH48" s="59">
        <f t="shared" si="8"/>
        <v>606.71543359582972</v>
      </c>
      <c r="BI48" s="59">
        <f ca="1">AVERAGE(OFFSET($BH$3,0,0,'Données projet'!$E$11+1,1))-AVERAGE(OFFSET($H$3,0,0,'Données projet'!$E$11+1,1))</f>
        <v>277.20405719540543</v>
      </c>
      <c r="BJ48" s="59">
        <f t="shared" si="38"/>
        <v>231.36959598460686</v>
      </c>
      <c r="BK48" s="15">
        <f>IF(ISNA(VLOOKUP(A48,'Données projet'!$A$87:$I$107,3,0)),0,VLOOKUP(A48,'Données projet'!$A$87:$I$107,3,0))</f>
        <v>6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10.375</v>
      </c>
      <c r="BY48" s="12">
        <f>IF('Données projet'!$A$114&gt;35,BY47+BX48-CG47,IF(A48&lt;'Données projet'!$A$114,$BV$205^A48,IF(A48='Données projet'!$A$114,'Données projet'!$B$114,BY47+BX48-CG47)))</f>
        <v>197.37499999999991</v>
      </c>
      <c r="BZ48" s="13">
        <f>BY48*VLOOKUP('Données projet'!$B$12,Paramètres!$A$1:$I$89,3,0)*VLOOKUP('Données projet'!$B$12,Paramètres!$A$1:$I$89,5,0)</f>
        <v>153.95249999999993</v>
      </c>
      <c r="CA48" s="13">
        <f t="shared" si="39"/>
        <v>39.475441267837361</v>
      </c>
      <c r="CB48" s="20">
        <f t="shared" si="10"/>
        <v>336.88699770814992</v>
      </c>
      <c r="CC48" s="59">
        <f t="shared" si="11"/>
        <v>630.22033104148318</v>
      </c>
      <c r="CD48" s="59">
        <f ca="1">AVERAGE(OFFSET($CC$3,0,0,'Données projet'!$E$12+1,1))-AVERAGE(OFFSET($H$3,0,0,'Données projet'!$E$12+1,1))</f>
        <v>288.82868507674738</v>
      </c>
      <c r="CE48" s="59">
        <f t="shared" si="40"/>
        <v>283.48738729114024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2.0687119879632867</v>
      </c>
      <c r="CM48" s="21">
        <f>EXP(-LN(2)/2)*CM47+(1-EXP(-LN(2)/2))/(LN(2)/2)*CG48*CJ48*VLOOKUP('Données projet'!$B$12,Paramètres!$A$1:$I$89,3,0)*0.475*44/12</f>
        <v>1.8064962058119728E-2</v>
      </c>
      <c r="CN48" s="22">
        <f t="shared" si="12"/>
        <v>2.0867769500214064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13.6</v>
      </c>
      <c r="N49" s="13">
        <f>IF('Données projet'!$A$36&gt;35,N48+M49-V48,IF(A49&lt;'Données projet'!$A$36,$K$205^A49,IF(A49='Données projet'!$A$36,'Données projet'!$B$36,N48+M49-V48)))</f>
        <v>219.60000000000014</v>
      </c>
      <c r="O49" s="13">
        <f>N49*VLOOKUP('Données projet'!$B$9,Paramètres!$A$1:$I$89,3,0)*VLOOKUP('Données projet'!$B$9,Paramètres!$A$1:$I$89,5,0)</f>
        <v>161.01072000000011</v>
      </c>
      <c r="P49" s="13">
        <f t="shared" si="33"/>
        <v>41.070402507024554</v>
      </c>
      <c r="Q49" s="20">
        <f t="shared" si="53"/>
        <v>351.95795503306795</v>
      </c>
      <c r="R49" s="59">
        <f t="shared" si="0"/>
        <v>645.2912883664012</v>
      </c>
      <c r="S49" s="59">
        <f ca="1">AVERAGE(OFFSET($R$3,0,0,'Données projet'!$E$9+1,1))-AVERAGE(OFFSET($H$3,0,0,'Données projet'!$E$9+1,1))</f>
        <v>193.60868637458515</v>
      </c>
      <c r="T49" s="59">
        <f t="shared" si="34"/>
        <v>272.97841038165217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190.19999999999993</v>
      </c>
      <c r="AJ49" s="13">
        <f>AI49*VLOOKUP('Données projet'!$B$10,Paramètres!$A$1:$I$89,3,0)*VLOOKUP('Données projet'!$B$10,Paramètres!$A$1:$I$89,5,0)</f>
        <v>151.32311999999996</v>
      </c>
      <c r="AK49" s="13">
        <f t="shared" si="35"/>
        <v>38.879115530839606</v>
      </c>
      <c r="AL49" s="20">
        <f t="shared" si="4"/>
        <v>331.26889354954557</v>
      </c>
      <c r="AM49" s="59">
        <f t="shared" si="5"/>
        <v>624.60222688287888</v>
      </c>
      <c r="AN49" s="59">
        <f ca="1">AVERAGE(OFFSET($AM$3,0,0,'Données projet'!$E$10+1,1))-AVERAGE(OFFSET($H$3,0,0,'Données projet'!$E$10+1,1))</f>
        <v>238.56893947183841</v>
      </c>
      <c r="AO49" s="59">
        <f t="shared" si="36"/>
        <v>292.57799203101769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145.20000000000005</v>
      </c>
      <c r="BE49" s="13">
        <f>BD49*VLOOKUP('Données projet'!$B$11,Paramètres!$A$1:$I$89,3,0)*VLOOKUP('Données projet'!$B$11,Paramètres!$A$1:$I$89,5,0)</f>
        <v>131.37696000000003</v>
      </c>
      <c r="BF49" s="13">
        <f t="shared" si="37"/>
        <v>34.314338988223334</v>
      </c>
      <c r="BG49" s="20">
        <f t="shared" si="7"/>
        <v>288.57901240448905</v>
      </c>
      <c r="BH49" s="59">
        <f t="shared" si="8"/>
        <v>581.91234573782231</v>
      </c>
      <c r="BI49" s="59">
        <f ca="1">AVERAGE(OFFSET($BH$3,0,0,'Données projet'!$E$11+1,1))-AVERAGE(OFFSET($H$3,0,0,'Données projet'!$E$11+1,1))</f>
        <v>277.20405719540543</v>
      </c>
      <c r="BJ49" s="59">
        <f t="shared" si="38"/>
        <v>231.36959598460686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10.375</v>
      </c>
      <c r="BY49" s="12">
        <f>IF('Données projet'!$A$114&gt;35,BY48+BX49-CG48,IF(A49&lt;'Données projet'!$A$114,$BV$205^A49,IF(A49='Données projet'!$A$114,'Données projet'!$B$114,BY48+BX49-CG48)))</f>
        <v>207.74999999999991</v>
      </c>
      <c r="BZ49" s="13">
        <f>BY49*VLOOKUP('Données projet'!$B$12,Paramètres!$A$1:$I$89,3,0)*VLOOKUP('Données projet'!$B$12,Paramètres!$A$1:$I$89,5,0)</f>
        <v>162.04499999999993</v>
      </c>
      <c r="CA49" s="13">
        <f t="shared" si="39"/>
        <v>41.303429372463391</v>
      </c>
      <c r="CB49" s="20">
        <f t="shared" si="10"/>
        <v>354.16518115704025</v>
      </c>
      <c r="CC49" s="59">
        <f t="shared" si="11"/>
        <v>647.49851449037351</v>
      </c>
      <c r="CD49" s="59">
        <f ca="1">AVERAGE(OFFSET($CC$3,0,0,'Données projet'!$E$12+1,1))-AVERAGE(OFFSET($H$3,0,0,'Données projet'!$E$12+1,1))</f>
        <v>288.82868507674738</v>
      </c>
      <c r="CE49" s="59">
        <f t="shared" si="40"/>
        <v>283.48738729114024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2.0121429498635952</v>
      </c>
      <c r="CM49" s="21">
        <f>EXP(-LN(2)/2)*CM48+(1-EXP(-LN(2)/2))/(LN(2)/2)*CG49*CJ49*VLOOKUP('Données projet'!$B$12,Paramètres!$A$1:$I$89,3,0)*0.475*44/12</f>
        <v>1.277385717317415E-2</v>
      </c>
      <c r="CN49" s="22">
        <f t="shared" si="12"/>
        <v>2.0249168070367696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13.6</v>
      </c>
      <c r="N50" s="13">
        <f>IF('Données projet'!$A$36&gt;35,N49+M50-V49,IF(A50&lt;'Données projet'!$A$36,$K$205^A50,IF(A50='Données projet'!$A$36,'Données projet'!$B$36,N49+M50-V49)))</f>
        <v>233.20000000000013</v>
      </c>
      <c r="O50" s="13">
        <f>N50*VLOOKUP('Données projet'!$B$9,Paramètres!$A$1:$I$89,3,0)*VLOOKUP('Données projet'!$B$9,Paramètres!$A$1:$I$89,5,0)</f>
        <v>170.9822400000001</v>
      </c>
      <c r="P50" s="13">
        <f t="shared" si="33"/>
        <v>43.309938852702771</v>
      </c>
      <c r="Q50" s="20">
        <f t="shared" si="53"/>
        <v>373.22554483512414</v>
      </c>
      <c r="R50" s="59">
        <f t="shared" si="0"/>
        <v>666.55887816845745</v>
      </c>
      <c r="S50" s="59">
        <f ca="1">AVERAGE(OFFSET($R$3,0,0,'Données projet'!$E$9+1,1))-AVERAGE(OFFSET($H$3,0,0,'Données projet'!$E$9+1,1))</f>
        <v>193.60868637458515</v>
      </c>
      <c r="T50" s="59">
        <f t="shared" si="34"/>
        <v>272.97841038165217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197.39999999999992</v>
      </c>
      <c r="AJ50" s="13">
        <f>AI50*VLOOKUP('Données projet'!$B$10,Paramètres!$A$1:$I$89,3,0)*VLOOKUP('Données projet'!$B$10,Paramètres!$A$1:$I$89,5,0)</f>
        <v>157.05143999999996</v>
      </c>
      <c r="AK50" s="13">
        <f t="shared" si="35"/>
        <v>40.176741230099708</v>
      </c>
      <c r="AL50" s="20">
        <f t="shared" si="4"/>
        <v>343.50574897575689</v>
      </c>
      <c r="AM50" s="59">
        <f t="shared" si="5"/>
        <v>636.83908230909014</v>
      </c>
      <c r="AN50" s="59">
        <f ca="1">AVERAGE(OFFSET($AM$3,0,0,'Données projet'!$E$10+1,1))-AVERAGE(OFFSET($H$3,0,0,'Données projet'!$E$10+1,1))</f>
        <v>238.56893947183841</v>
      </c>
      <c r="AO50" s="59">
        <f t="shared" si="36"/>
        <v>292.57799203101769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153.40000000000003</v>
      </c>
      <c r="BE50" s="13">
        <f>BD50*VLOOKUP('Données projet'!$B$11,Paramètres!$A$1:$I$89,3,0)*VLOOKUP('Données projet'!$B$11,Paramètres!$A$1:$I$89,5,0)</f>
        <v>138.79632000000001</v>
      </c>
      <c r="BF50" s="13">
        <f t="shared" si="37"/>
        <v>36.021120886354588</v>
      </c>
      <c r="BG50" s="20">
        <f t="shared" si="7"/>
        <v>304.47370954373423</v>
      </c>
      <c r="BH50" s="59">
        <f t="shared" si="8"/>
        <v>597.80704287706749</v>
      </c>
      <c r="BI50" s="59">
        <f ca="1">AVERAGE(OFFSET($BH$3,0,0,'Données projet'!$E$11+1,1))-AVERAGE(OFFSET($H$3,0,0,'Données projet'!$E$11+1,1))</f>
        <v>277.20405719540543</v>
      </c>
      <c r="BJ50" s="59">
        <f t="shared" si="38"/>
        <v>231.36959598460686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10.375</v>
      </c>
      <c r="BY50" s="12">
        <f>IF('Données projet'!$A$114&gt;35,BY49+BX50-CG49,IF(A50&lt;'Données projet'!$A$114,$BV$205^A50,IF(A50='Données projet'!$A$114,'Données projet'!$B$114,BY49+BX50-CG49)))</f>
        <v>218.12499999999991</v>
      </c>
      <c r="BZ50" s="13">
        <f>BY50*VLOOKUP('Données projet'!$B$12,Paramètres!$A$1:$I$89,3,0)*VLOOKUP('Données projet'!$B$12,Paramètres!$A$1:$I$89,5,0)</f>
        <v>170.13749999999993</v>
      </c>
      <c r="CA50" s="13">
        <f t="shared" si="39"/>
        <v>43.120817562072375</v>
      </c>
      <c r="CB50" s="20">
        <f t="shared" si="10"/>
        <v>371.42490308727588</v>
      </c>
      <c r="CC50" s="59">
        <f t="shared" si="11"/>
        <v>664.75823642060914</v>
      </c>
      <c r="CD50" s="59">
        <f ca="1">AVERAGE(OFFSET($CC$3,0,0,'Données projet'!$E$12+1,1))-AVERAGE(OFFSET($H$3,0,0,'Données projet'!$E$12+1,1))</f>
        <v>288.82868507674738</v>
      </c>
      <c r="CE50" s="59">
        <f t="shared" si="40"/>
        <v>283.48738729114024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1.9571207950855762</v>
      </c>
      <c r="CM50" s="21">
        <f>EXP(-LN(2)/2)*CM49+(1-EXP(-LN(2)/2))/(LN(2)/2)*CG50*CJ50*VLOOKUP('Données projet'!$B$12,Paramètres!$A$1:$I$89,3,0)*0.475*44/12</f>
        <v>9.0324810290598641E-3</v>
      </c>
      <c r="CN50" s="22">
        <f t="shared" si="12"/>
        <v>1.9661532761146361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13.6</v>
      </c>
      <c r="N51" s="13">
        <f>IF('Données projet'!$A$36&gt;35,N50+M51-V50,IF(A51&lt;'Données projet'!$A$36,$K$205^A51,IF(A51='Données projet'!$A$36,'Données projet'!$B$36,N50+M51-V50)))</f>
        <v>246.80000000000013</v>
      </c>
      <c r="O51" s="13">
        <f>N51*VLOOKUP('Données projet'!$B$9,Paramètres!$A$1:$I$89,3,0)*VLOOKUP('Données projet'!$B$9,Paramètres!$A$1:$I$89,5,0)</f>
        <v>180.95376000000007</v>
      </c>
      <c r="P51" s="13">
        <f t="shared" si="33"/>
        <v>45.534314886343658</v>
      </c>
      <c r="Q51" s="20">
        <f t="shared" si="53"/>
        <v>394.46673042704862</v>
      </c>
      <c r="R51" s="59">
        <f t="shared" si="0"/>
        <v>687.80006376038193</v>
      </c>
      <c r="S51" s="59">
        <f ca="1">AVERAGE(OFFSET($R$3,0,0,'Données projet'!$E$9+1,1))-AVERAGE(OFFSET($H$3,0,0,'Données projet'!$E$9+1,1))</f>
        <v>193.60868637458515</v>
      </c>
      <c r="T51" s="59">
        <f t="shared" si="34"/>
        <v>272.97841038165217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204.59999999999991</v>
      </c>
      <c r="AJ51" s="13">
        <f>AI51*VLOOKUP('Données projet'!$B$10,Paramètres!$A$1:$I$89,3,0)*VLOOKUP('Données projet'!$B$10,Paramètres!$A$1:$I$89,5,0)</f>
        <v>162.77975999999995</v>
      </c>
      <c r="AK51" s="13">
        <f t="shared" si="35"/>
        <v>41.468868129640057</v>
      </c>
      <c r="AL51" s="20">
        <f t="shared" si="4"/>
        <v>355.73302732578964</v>
      </c>
      <c r="AM51" s="59">
        <f t="shared" si="5"/>
        <v>649.06636065912289</v>
      </c>
      <c r="AN51" s="59">
        <f ca="1">AVERAGE(OFFSET($AM$3,0,0,'Données projet'!$E$10+1,1))-AVERAGE(OFFSET($H$3,0,0,'Données projet'!$E$10+1,1))</f>
        <v>238.56893947183841</v>
      </c>
      <c r="AO51" s="59">
        <f t="shared" si="36"/>
        <v>292.57799203101769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161.60000000000002</v>
      </c>
      <c r="BE51" s="13">
        <f>BD51*VLOOKUP('Données projet'!$B$11,Paramètres!$A$1:$I$89,3,0)*VLOOKUP('Données projet'!$B$11,Paramètres!$A$1:$I$89,5,0)</f>
        <v>146.21568000000002</v>
      </c>
      <c r="BF51" s="13">
        <f t="shared" si="37"/>
        <v>37.717310552893402</v>
      </c>
      <c r="BG51" s="20">
        <f t="shared" si="7"/>
        <v>320.34995854628937</v>
      </c>
      <c r="BH51" s="59">
        <f t="shared" si="8"/>
        <v>613.68329187962263</v>
      </c>
      <c r="BI51" s="59">
        <f ca="1">AVERAGE(OFFSET($BH$3,0,0,'Données projet'!$E$11+1,1))-AVERAGE(OFFSET($H$3,0,0,'Données projet'!$E$11+1,1))</f>
        <v>277.20405719540543</v>
      </c>
      <c r="BJ51" s="59">
        <f t="shared" si="38"/>
        <v>231.36959598460686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10.375</v>
      </c>
      <c r="BY51" s="12">
        <f>IF('Données projet'!$A$114&gt;35,BY50+BX51-CG50,IF(A51&lt;'Données projet'!$A$114,$BV$205^A51,IF(A51='Données projet'!$A$114,'Données projet'!$B$114,BY50+BX51-CG50)))</f>
        <v>228.49999999999991</v>
      </c>
      <c r="BZ51" s="13">
        <f>BY51*VLOOKUP('Données projet'!$B$12,Paramètres!$A$1:$I$89,3,0)*VLOOKUP('Données projet'!$B$12,Paramètres!$A$1:$I$89,5,0)</f>
        <v>178.22999999999993</v>
      </c>
      <c r="CA51" s="13">
        <f t="shared" si="39"/>
        <v>44.928167580487852</v>
      </c>
      <c r="CB51" s="20">
        <f t="shared" si="10"/>
        <v>388.66714186934951</v>
      </c>
      <c r="CC51" s="59">
        <f t="shared" si="11"/>
        <v>682.00047520268276</v>
      </c>
      <c r="CD51" s="59">
        <f ca="1">AVERAGE(OFFSET($CC$3,0,0,'Données projet'!$E$12+1,1))-AVERAGE(OFFSET($H$3,0,0,'Données projet'!$E$12+1,1))</f>
        <v>288.82868507674738</v>
      </c>
      <c r="CE51" s="59">
        <f t="shared" si="40"/>
        <v>283.48738729114024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1.9036032240234515</v>
      </c>
      <c r="CM51" s="21">
        <f>EXP(-LN(2)/2)*CM50+(1-EXP(-LN(2)/2))/(LN(2)/2)*CG51*CJ51*VLOOKUP('Données projet'!$B$12,Paramètres!$A$1:$I$89,3,0)*0.475*44/12</f>
        <v>6.386928586587075E-3</v>
      </c>
      <c r="CN51" s="22">
        <f t="shared" si="12"/>
        <v>1.9099901526100387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13.6</v>
      </c>
      <c r="N52" s="13">
        <f>IF('Données projet'!$A$36&gt;35,N51+M52-V51,IF(A52&lt;'Données projet'!$A$36,$K$205^A52,IF(A52='Données projet'!$A$36,'Données projet'!$B$36,N51+M52-V51)))</f>
        <v>260.40000000000015</v>
      </c>
      <c r="O52" s="13">
        <f>N52*VLOOKUP('Données projet'!$B$9,Paramètres!$A$1:$I$89,3,0)*VLOOKUP('Données projet'!$B$9,Paramètres!$A$1:$I$89,5,0)</f>
        <v>190.9252800000001</v>
      </c>
      <c r="P52" s="13">
        <f t="shared" si="33"/>
        <v>47.744461246925432</v>
      </c>
      <c r="Q52" s="20">
        <f t="shared" si="53"/>
        <v>415.68313267172863</v>
      </c>
      <c r="R52" s="59">
        <f t="shared" si="0"/>
        <v>709.01646600506194</v>
      </c>
      <c r="S52" s="59">
        <f ca="1">AVERAGE(OFFSET($R$3,0,0,'Données projet'!$E$9+1,1))-AVERAGE(OFFSET($H$3,0,0,'Données projet'!$E$9+1,1))</f>
        <v>193.60868637458515</v>
      </c>
      <c r="T52" s="59">
        <f t="shared" si="34"/>
        <v>272.97841038165217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211.7999999999999</v>
      </c>
      <c r="AJ52" s="13">
        <f>AI52*VLOOKUP('Données projet'!$B$10,Paramètres!$A$1:$I$89,3,0)*VLOOKUP('Données projet'!$B$10,Paramètres!$A$1:$I$89,5,0)</f>
        <v>168.50807999999992</v>
      </c>
      <c r="AK52" s="13">
        <f t="shared" si="35"/>
        <v>42.755711908378117</v>
      </c>
      <c r="AL52" s="20">
        <f t="shared" si="4"/>
        <v>367.95110424042508</v>
      </c>
      <c r="AM52" s="59">
        <f t="shared" si="5"/>
        <v>661.2844375737584</v>
      </c>
      <c r="AN52" s="59">
        <f ca="1">AVERAGE(OFFSET($AM$3,0,0,'Données projet'!$E$10+1,1))-AVERAGE(OFFSET($H$3,0,0,'Données projet'!$E$10+1,1))</f>
        <v>238.56893947183841</v>
      </c>
      <c r="AO52" s="59">
        <f t="shared" si="36"/>
        <v>292.57799203101769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169.8</v>
      </c>
      <c r="BE52" s="13">
        <f>BD52*VLOOKUP('Données projet'!$B$11,Paramètres!$A$1:$I$89,3,0)*VLOOKUP('Données projet'!$B$11,Paramètres!$A$1:$I$89,5,0)</f>
        <v>153.63504</v>
      </c>
      <c r="BF52" s="13">
        <f t="shared" si="37"/>
        <v>39.403506785222667</v>
      </c>
      <c r="BG52" s="20">
        <f t="shared" si="7"/>
        <v>336.20880231759617</v>
      </c>
      <c r="BH52" s="59">
        <f t="shared" si="8"/>
        <v>629.54213565092948</v>
      </c>
      <c r="BI52" s="59">
        <f ca="1">AVERAGE(OFFSET($BH$3,0,0,'Données projet'!$E$11+1,1))-AVERAGE(OFFSET($H$3,0,0,'Données projet'!$E$11+1,1))</f>
        <v>277.20405719540543</v>
      </c>
      <c r="BJ52" s="59">
        <f t="shared" si="38"/>
        <v>231.36959598460686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10.375</v>
      </c>
      <c r="BY52" s="12">
        <f>IF('Données projet'!$A$114&gt;35,BY51+BX52-CG51,IF(A52&lt;'Données projet'!$A$114,$BV$205^A52,IF(A52='Données projet'!$A$114,'Données projet'!$B$114,BY51+BX52-CG51)))</f>
        <v>238.87499999999991</v>
      </c>
      <c r="BZ52" s="13">
        <f>BY52*VLOOKUP('Données projet'!$B$12,Paramètres!$A$1:$I$89,3,0)*VLOOKUP('Données projet'!$B$12,Paramètres!$A$1:$I$89,5,0)</f>
        <v>186.32249999999993</v>
      </c>
      <c r="CA52" s="13">
        <f t="shared" si="39"/>
        <v>46.725987276254116</v>
      </c>
      <c r="CB52" s="20">
        <f t="shared" si="10"/>
        <v>405.8927820061424</v>
      </c>
      <c r="CC52" s="59">
        <f t="shared" si="11"/>
        <v>699.22611533947565</v>
      </c>
      <c r="CD52" s="59">
        <f ca="1">AVERAGE(OFFSET($CC$3,0,0,'Données projet'!$E$12+1,1))-AVERAGE(OFFSET($H$3,0,0,'Données projet'!$E$12+1,1))</f>
        <v>288.82868507674738</v>
      </c>
      <c r="CE52" s="59">
        <f t="shared" si="40"/>
        <v>283.48738729114024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1.8515490937563874</v>
      </c>
      <c r="CM52" s="21">
        <f>EXP(-LN(2)/2)*CM51+(1-EXP(-LN(2)/2))/(LN(2)/2)*CG52*CJ52*VLOOKUP('Données projet'!$B$12,Paramètres!$A$1:$I$89,3,0)*0.475*44/12</f>
        <v>4.516240514529932E-3</v>
      </c>
      <c r="CN52" s="22">
        <f t="shared" si="12"/>
        <v>1.8560653342709175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274</v>
      </c>
      <c r="L53" s="12">
        <f>VLOOKUP(A53,'Données projet'!$A$35:$I$55,9,0)</f>
        <v>13.6</v>
      </c>
      <c r="M53" s="12">
        <f t="array" ref="M53">INDEX(L:L,MIN(IF(ISNUMBER(L53:L249),ROW(L53:L249),"")))</f>
        <v>13.6</v>
      </c>
      <c r="N53" s="13">
        <f>IF('Données projet'!$A$36&gt;35,N52+M53-V52,IF(A53&lt;'Données projet'!$A$36,$K$205^A53,IF(A53='Données projet'!$A$36,'Données projet'!$B$36,N52+M53-V52)))</f>
        <v>274.00000000000017</v>
      </c>
      <c r="O53" s="13">
        <f>N53*VLOOKUP('Données projet'!$B$9,Paramètres!$A$1:$I$89,3,0)*VLOOKUP('Données projet'!$B$9,Paramètres!$A$1:$I$89,5,0)</f>
        <v>200.89680000000016</v>
      </c>
      <c r="P53" s="13">
        <f t="shared" si="33"/>
        <v>49.941205873360261</v>
      </c>
      <c r="Q53" s="20">
        <f t="shared" si="53"/>
        <v>436.8761935627694</v>
      </c>
      <c r="R53" s="59">
        <f t="shared" si="0"/>
        <v>730.20952689610272</v>
      </c>
      <c r="S53" s="59">
        <f ca="1">AVERAGE(OFFSET($R$3,0,0,'Données projet'!$E$9+1,1))-AVERAGE(OFFSET($H$3,0,0,'Données projet'!$E$9+1,1))</f>
        <v>193.60868637458515</v>
      </c>
      <c r="T53" s="59">
        <f t="shared" si="34"/>
        <v>272.97841038165217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274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219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218.99999999999989</v>
      </c>
      <c r="AJ53" s="13">
        <f>AI53*VLOOKUP('Données projet'!$B$10,Paramètres!$A$1:$I$89,3,0)*VLOOKUP('Données projet'!$B$10,Paramètres!$A$1:$I$89,5,0)</f>
        <v>174.23639999999992</v>
      </c>
      <c r="AK53" s="13">
        <f t="shared" si="35"/>
        <v>44.03747274965864</v>
      </c>
      <c r="AL53" s="20">
        <f t="shared" si="4"/>
        <v>380.160328372322</v>
      </c>
      <c r="AM53" s="59">
        <f t="shared" si="5"/>
        <v>673.49366170565531</v>
      </c>
      <c r="AN53" s="59">
        <f ca="1">AVERAGE(OFFSET($AM$3,0,0,'Données projet'!$E$10+1,1))-AVERAGE(OFFSET($H$3,0,0,'Données projet'!$E$10+1,1))</f>
        <v>238.56893947183841</v>
      </c>
      <c r="AO53" s="59">
        <f t="shared" si="36"/>
        <v>292.57799203101769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17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178</v>
      </c>
      <c r="BE53" s="13">
        <f>BD53*VLOOKUP('Données projet'!$B$11,Paramètres!$A$1:$I$89,3,0)*VLOOKUP('Données projet'!$B$11,Paramètres!$A$1:$I$89,5,0)</f>
        <v>161.05439999999999</v>
      </c>
      <c r="BF53" s="13">
        <f t="shared" si="37"/>
        <v>41.080247278685491</v>
      </c>
      <c r="BG53" s="20">
        <f t="shared" si="7"/>
        <v>352.05117734371055</v>
      </c>
      <c r="BH53" s="59">
        <f t="shared" si="8"/>
        <v>645.38451067704386</v>
      </c>
      <c r="BI53" s="59">
        <f ca="1">AVERAGE(OFFSET($BH$3,0,0,'Données projet'!$E$11+1,1))-AVERAGE(OFFSET($H$3,0,0,'Données projet'!$E$11+1,1))</f>
        <v>277.20405719540543</v>
      </c>
      <c r="BJ53" s="59">
        <f t="shared" si="38"/>
        <v>231.36959598460686</v>
      </c>
      <c r="BK53" s="15">
        <f>IF(ISNA(VLOOKUP(A53,'Données projet'!$A$87:$I$107,3,0)),0,VLOOKUP(A53,'Données projet'!$A$87:$I$107,3,0))</f>
        <v>7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10.375</v>
      </c>
      <c r="BY53" s="12">
        <f>IF('Données projet'!$A$114&gt;35,BY52+BX53-CG52,IF(A53&lt;'Données projet'!$A$114,$BV$205^A53,IF(A53='Données projet'!$A$114,'Données projet'!$B$114,BY52+BX53-CG52)))</f>
        <v>249.24999999999991</v>
      </c>
      <c r="BZ53" s="13">
        <f>BY53*VLOOKUP('Données projet'!$B$12,Paramètres!$A$1:$I$89,3,0)*VLOOKUP('Données projet'!$B$12,Paramètres!$A$1:$I$89,5,0)</f>
        <v>194.41499999999994</v>
      </c>
      <c r="CA53" s="13">
        <f t="shared" si="39"/>
        <v>48.514737888684927</v>
      </c>
      <c r="CB53" s="20">
        <f t="shared" si="10"/>
        <v>423.10262682279273</v>
      </c>
      <c r="CC53" s="59">
        <f t="shared" si="11"/>
        <v>716.43596015612604</v>
      </c>
      <c r="CD53" s="59">
        <f ca="1">AVERAGE(OFFSET($CC$3,0,0,'Données projet'!$E$12+1,1))-AVERAGE(OFFSET($H$3,0,0,'Données projet'!$E$12+1,1))</f>
        <v>288.82868507674738</v>
      </c>
      <c r="CE53" s="59">
        <f t="shared" si="40"/>
        <v>283.48738729114024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1.800918386418884</v>
      </c>
      <c r="CM53" s="21">
        <f>EXP(-LN(2)/2)*CM52+(1-EXP(-LN(2)/2))/(LN(2)/2)*CG53*CJ53*VLOOKUP('Données projet'!$B$12,Paramètres!$A$1:$I$89,3,0)*0.475*44/12</f>
        <v>3.1934642932935375E-3</v>
      </c>
      <c r="CN53" s="22">
        <f t="shared" si="12"/>
        <v>1.8041118507121776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1.7053025658242404E-13</v>
      </c>
      <c r="O54" s="13">
        <f>N54*VLOOKUP('Données projet'!$B$9,Paramètres!$A$1:$I$89,3,0)*VLOOKUP('Données projet'!$B$9,Paramètres!$A$1:$I$89,5,0)</f>
        <v>1.250327841262333E-13</v>
      </c>
      <c r="P54" s="13">
        <f t="shared" si="33"/>
        <v>1.8301318724634299E-12</v>
      </c>
      <c r="Q54" s="20">
        <f t="shared" si="53"/>
        <v>3.405245110226996E-12</v>
      </c>
      <c r="R54" s="59">
        <f t="shared" si="0"/>
        <v>293.33333333333672</v>
      </c>
      <c r="S54" s="59">
        <f ca="1">AVERAGE(OFFSET($R$3,0,0,'Données projet'!$E$9+1,1))-AVERAGE(OFFSET($H$3,0,0,'Données projet'!$E$9+1,1))</f>
        <v>193.60868637458515</v>
      </c>
      <c r="T54" s="59">
        <f t="shared" si="34"/>
        <v>272.97841038165217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</v>
      </c>
      <c r="AI54" s="13">
        <f>IF('Données projet'!$A$62&gt;35,AI53+AH54-AQ53,IF(A54&lt;'Données projet'!$A$62,$AF$205^A54,IF(A54='Données projet'!$A$62,'Données projet'!$B$62,AI53+AH54-AQ53)))</f>
        <v>207.99999999999989</v>
      </c>
      <c r="AJ54" s="13">
        <f>AI54*VLOOKUP('Données projet'!$B$10,Paramètres!$A$1:$I$89,3,0)*VLOOKUP('Données projet'!$B$10,Paramètres!$A$1:$I$89,5,0)</f>
        <v>165.48479999999992</v>
      </c>
      <c r="AK54" s="13">
        <f t="shared" si="35"/>
        <v>42.077190125964002</v>
      </c>
      <c r="AL54" s="20">
        <f t="shared" si="4"/>
        <v>361.5037994693871</v>
      </c>
      <c r="AM54" s="59">
        <f t="shared" si="5"/>
        <v>654.83713280272036</v>
      </c>
      <c r="AN54" s="59">
        <f ca="1">AVERAGE(OFFSET($AM$3,0,0,'Données projet'!$E$10+1,1))-AVERAGE(OFFSET($H$3,0,0,'Données projet'!$E$10+1,1))</f>
        <v>238.56893947183841</v>
      </c>
      <c r="AO54" s="59">
        <f t="shared" si="36"/>
        <v>292.57799203101769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165</v>
      </c>
      <c r="BE54" s="13">
        <f>BD54*VLOOKUP('Données projet'!$B$11,Paramètres!$A$1:$I$89,3,0)*VLOOKUP('Données projet'!$B$11,Paramètres!$A$1:$I$89,5,0)</f>
        <v>149.29199999999997</v>
      </c>
      <c r="BF54" s="13">
        <f t="shared" si="37"/>
        <v>38.417645803815411</v>
      </c>
      <c r="BG54" s="20">
        <f t="shared" si="7"/>
        <v>326.9276331083118</v>
      </c>
      <c r="BH54" s="59">
        <f t="shared" si="8"/>
        <v>620.26096644164511</v>
      </c>
      <c r="BI54" s="59">
        <f ca="1">AVERAGE(OFFSET($BH$3,0,0,'Données projet'!$E$11+1,1))-AVERAGE(OFFSET($H$3,0,0,'Données projet'!$E$11+1,1))</f>
        <v>277.20405719540543</v>
      </c>
      <c r="BJ54" s="59">
        <f t="shared" si="38"/>
        <v>231.36959598460686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10.375</v>
      </c>
      <c r="BY54" s="12">
        <f>IF('Données projet'!$A$114&gt;35,BY53+BX54-CG53,IF(A54&lt;'Données projet'!$A$114,$BV$205^A54,IF(A54='Données projet'!$A$114,'Données projet'!$B$114,BY53+BX54-CG53)))</f>
        <v>259.62499999999989</v>
      </c>
      <c r="BZ54" s="13">
        <f>BY54*VLOOKUP('Données projet'!$B$12,Paramètres!$A$1:$I$89,3,0)*VLOOKUP('Données projet'!$B$12,Paramètres!$A$1:$I$89,5,0)</f>
        <v>202.50749999999991</v>
      </c>
      <c r="CA54" s="13">
        <f t="shared" si="39"/>
        <v>50.294840086606349</v>
      </c>
      <c r="CB54" s="20">
        <f t="shared" si="10"/>
        <v>440.29740898417253</v>
      </c>
      <c r="CC54" s="59">
        <f t="shared" si="11"/>
        <v>733.63074231750579</v>
      </c>
      <c r="CD54" s="59">
        <f ca="1">AVERAGE(OFFSET($CC$3,0,0,'Données projet'!$E$12+1,1))-AVERAGE(OFFSET($H$3,0,0,'Données projet'!$E$12+1,1))</f>
        <v>288.82868507674738</v>
      </c>
      <c r="CE54" s="59">
        <f t="shared" si="40"/>
        <v>283.48738729114024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1.7516721784360778</v>
      </c>
      <c r="CM54" s="21">
        <f>EXP(-LN(2)/2)*CM53+(1-EXP(-LN(2)/2))/(LN(2)/2)*CG54*CJ54*VLOOKUP('Données projet'!$B$12,Paramètres!$A$1:$I$89,3,0)*0.475*44/12</f>
        <v>2.258120257264966E-3</v>
      </c>
      <c r="CN54" s="22">
        <f t="shared" si="12"/>
        <v>1.7539302986933427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1.7053025658242404E-13</v>
      </c>
      <c r="O55" s="13">
        <f>N55*VLOOKUP('Données projet'!$B$9,Paramètres!$A$1:$I$89,3,0)*VLOOKUP('Données projet'!$B$9,Paramètres!$A$1:$I$89,5,0)</f>
        <v>1.250327841262333E-13</v>
      </c>
      <c r="P55" s="13">
        <f t="shared" si="33"/>
        <v>1.8301318724634299E-12</v>
      </c>
      <c r="Q55" s="20">
        <f t="shared" si="53"/>
        <v>3.405245110226996E-12</v>
      </c>
      <c r="R55" s="59">
        <f t="shared" si="0"/>
        <v>293.33333333333672</v>
      </c>
      <c r="S55" s="59">
        <f ca="1">AVERAGE(OFFSET($R$3,0,0,'Données projet'!$E$9+1,1))-AVERAGE(OFFSET($H$3,0,0,'Données projet'!$E$9+1,1))</f>
        <v>193.60868637458515</v>
      </c>
      <c r="T55" s="59">
        <f t="shared" si="34"/>
        <v>272.97841038165217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</v>
      </c>
      <c r="AI55" s="13">
        <f>IF('Données projet'!$A$62&gt;35,AI54+AH55-AQ54,IF(A55&lt;'Données projet'!$A$62,$AF$205^A55,IF(A55='Données projet'!$A$62,'Données projet'!$B$62,AI54+AH55-AQ54)))</f>
        <v>213.99999999999989</v>
      </c>
      <c r="AJ55" s="13">
        <f>AI55*VLOOKUP('Données projet'!$B$10,Paramètres!$A$1:$I$89,3,0)*VLOOKUP('Données projet'!$B$10,Paramètres!$A$1:$I$89,5,0)</f>
        <v>170.25839999999991</v>
      </c>
      <c r="AK55" s="13">
        <f t="shared" si="35"/>
        <v>43.147891472685018</v>
      </c>
      <c r="AL55" s="20">
        <f t="shared" si="4"/>
        <v>371.68262431492622</v>
      </c>
      <c r="AM55" s="59">
        <f t="shared" si="5"/>
        <v>665.01595764825947</v>
      </c>
      <c r="AN55" s="59">
        <f ca="1">AVERAGE(OFFSET($AM$3,0,0,'Données projet'!$E$10+1,1))-AVERAGE(OFFSET($H$3,0,0,'Données projet'!$E$10+1,1))</f>
        <v>238.56893947183841</v>
      </c>
      <c r="AO55" s="59">
        <f t="shared" si="36"/>
        <v>292.57799203101769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173</v>
      </c>
      <c r="BE55" s="13">
        <f>BD55*VLOOKUP('Données projet'!$B$11,Paramètres!$A$1:$I$89,3,0)*VLOOKUP('Données projet'!$B$11,Paramètres!$A$1:$I$89,5,0)</f>
        <v>156.53039999999999</v>
      </c>
      <c r="BF55" s="13">
        <f t="shared" si="37"/>
        <v>40.058941713182037</v>
      </c>
      <c r="BG55" s="20">
        <f t="shared" si="7"/>
        <v>342.393103483792</v>
      </c>
      <c r="BH55" s="59">
        <f t="shared" si="8"/>
        <v>635.72643681712532</v>
      </c>
      <c r="BI55" s="59">
        <f ca="1">AVERAGE(OFFSET($BH$3,0,0,'Données projet'!$E$11+1,1))-AVERAGE(OFFSET($H$3,0,0,'Données projet'!$E$11+1,1))</f>
        <v>277.20405719540543</v>
      </c>
      <c r="BJ55" s="59">
        <f t="shared" si="38"/>
        <v>231.36959598460686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270</v>
      </c>
      <c r="BW55" s="12">
        <f>VLOOKUP(A55,'Données projet'!$A$113:$I$133,9,0)</f>
        <v>10.375</v>
      </c>
      <c r="BX55" s="12">
        <f t="array" ref="BX55">INDEX(BW:BW,MIN(IF(ISNUMBER(BW55:BW251),ROW(BW55:BW251),"")))</f>
        <v>10.375</v>
      </c>
      <c r="BY55" s="12">
        <f>IF('Données projet'!$A$114&gt;35,BY54+BX55-CG54,IF(A55&lt;'Données projet'!$A$114,$BV$205^A55,IF(A55='Données projet'!$A$114,'Données projet'!$B$114,BY54+BX55-CG54)))</f>
        <v>269.99999999999989</v>
      </c>
      <c r="BZ55" s="13">
        <f>BY55*VLOOKUP('Données projet'!$B$12,Paramètres!$A$1:$I$89,3,0)*VLOOKUP('Données projet'!$B$12,Paramètres!$A$1:$I$89,5,0)</f>
        <v>210.59999999999991</v>
      </c>
      <c r="CA55" s="13">
        <f t="shared" si="39"/>
        <v>52.066679014659961</v>
      </c>
      <c r="CB55" s="20">
        <f t="shared" si="10"/>
        <v>457.47779928386586</v>
      </c>
      <c r="CC55" s="59">
        <f t="shared" si="11"/>
        <v>750.81113261719918</v>
      </c>
      <c r="CD55" s="59">
        <f ca="1">AVERAGE(OFFSET($CC$3,0,0,'Données projet'!$E$12+1,1))-AVERAGE(OFFSET($H$3,0,0,'Données projet'!$E$12+1,1))</f>
        <v>288.82868507674738</v>
      </c>
      <c r="CE55" s="59">
        <f t="shared" si="40"/>
        <v>283.48738729114024</v>
      </c>
      <c r="CF55" s="15">
        <f>IF(ISNA(VLOOKUP(A55,'Données projet'!$A$113:$I$133,3,0)),0,VLOOKUP(A55,'Données projet'!$A$113:$I$133,3,0))</f>
        <v>7</v>
      </c>
      <c r="CG55" s="15">
        <f>IF(ISNA(VLOOKUP(A55,'Données projet'!$A$113:$I$133,4,0)),0,VLOOKUP(A55,'Données projet'!$A$113:$I$133,4,0))</f>
        <v>48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1.7037726106003068</v>
      </c>
      <c r="CM55" s="21">
        <f>EXP(-LN(2)/2)*CM54+(1-EXP(-LN(2)/2))/(LN(2)/2)*CG55*CJ55*VLOOKUP('Données projet'!$B$12,Paramètres!$A$1:$I$89,3,0)*0.475*44/12</f>
        <v>1.5967321466467687E-3</v>
      </c>
      <c r="CN55" s="22">
        <f t="shared" si="12"/>
        <v>1.7053693427469536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1.7053025658242404E-13</v>
      </c>
      <c r="O56" s="13">
        <f>N56*VLOOKUP('Données projet'!$B$9,Paramètres!$A$1:$I$89,3,0)*VLOOKUP('Données projet'!$B$9,Paramètres!$A$1:$I$89,5,0)</f>
        <v>1.250327841262333E-13</v>
      </c>
      <c r="P56" s="13">
        <f t="shared" si="33"/>
        <v>1.8301318724634299E-12</v>
      </c>
      <c r="Q56" s="20">
        <f t="shared" si="53"/>
        <v>3.405245110226996E-12</v>
      </c>
      <c r="R56" s="59">
        <f t="shared" si="0"/>
        <v>293.33333333333672</v>
      </c>
      <c r="S56" s="59">
        <f ca="1">AVERAGE(OFFSET($R$3,0,0,'Données projet'!$E$9+1,1))-AVERAGE(OFFSET($H$3,0,0,'Données projet'!$E$9+1,1))</f>
        <v>193.60868637458515</v>
      </c>
      <c r="T56" s="59">
        <f t="shared" si="34"/>
        <v>272.97841038165217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</v>
      </c>
      <c r="AI56" s="13">
        <f>IF('Données projet'!$A$62&gt;35,AI55+AH56-AQ55,IF(A56&lt;'Données projet'!$A$62,$AF$205^A56,IF(A56='Données projet'!$A$62,'Données projet'!$B$62,AI55+AH56-AQ55)))</f>
        <v>219.99999999999989</v>
      </c>
      <c r="AJ56" s="13">
        <f>AI56*VLOOKUP('Données projet'!$B$10,Paramètres!$A$1:$I$89,3,0)*VLOOKUP('Données projet'!$B$10,Paramètres!$A$1:$I$89,5,0)</f>
        <v>175.03199999999993</v>
      </c>
      <c r="AK56" s="13">
        <f t="shared" si="35"/>
        <v>44.215103743191008</v>
      </c>
      <c r="AL56" s="20">
        <f t="shared" si="4"/>
        <v>381.85537235272426</v>
      </c>
      <c r="AM56" s="59">
        <f t="shared" si="5"/>
        <v>675.18870568605757</v>
      </c>
      <c r="AN56" s="59">
        <f ca="1">AVERAGE(OFFSET($AM$3,0,0,'Données projet'!$E$10+1,1))-AVERAGE(OFFSET($H$3,0,0,'Données projet'!$E$10+1,1))</f>
        <v>238.56893947183841</v>
      </c>
      <c r="AO56" s="59">
        <f t="shared" si="36"/>
        <v>292.57799203101769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181</v>
      </c>
      <c r="BE56" s="13">
        <f>BD56*VLOOKUP('Données projet'!$B$11,Paramètres!$A$1:$I$89,3,0)*VLOOKUP('Données projet'!$B$11,Paramètres!$A$1:$I$89,5,0)</f>
        <v>163.7688</v>
      </c>
      <c r="BF56" s="13">
        <f t="shared" si="37"/>
        <v>41.691423503509803</v>
      </c>
      <c r="BG56" s="20">
        <f t="shared" si="7"/>
        <v>357.84322260194625</v>
      </c>
      <c r="BH56" s="59">
        <f t="shared" si="8"/>
        <v>651.17655593527957</v>
      </c>
      <c r="BI56" s="59">
        <f ca="1">AVERAGE(OFFSET($BH$3,0,0,'Données projet'!$E$11+1,1))-AVERAGE(OFFSET($H$3,0,0,'Données projet'!$E$11+1,1))</f>
        <v>277.20405719540543</v>
      </c>
      <c r="BJ56" s="59">
        <f t="shared" si="38"/>
        <v>231.36959598460686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9.375</v>
      </c>
      <c r="BY56" s="12">
        <f>IF('Données projet'!$A$114&gt;35,BY55+BX56-CG55,IF(A56&lt;'Données projet'!$A$114,$BV$205^A56,IF(A56='Données projet'!$A$114,'Données projet'!$B$114,BY55+BX56-CG55)))</f>
        <v>231.37499999999989</v>
      </c>
      <c r="BZ56" s="13">
        <f>BY56*VLOOKUP('Données projet'!$B$12,Paramètres!$A$1:$I$89,3,0)*VLOOKUP('Données projet'!$B$12,Paramètres!$A$1:$I$89,5,0)</f>
        <v>180.47249999999991</v>
      </c>
      <c r="CA56" s="13">
        <f t="shared" si="39"/>
        <v>45.427292666837829</v>
      </c>
      <c r="CB56" s="20">
        <f t="shared" si="10"/>
        <v>393.44213889474241</v>
      </c>
      <c r="CC56" s="59">
        <f t="shared" si="11"/>
        <v>686.77547222807573</v>
      </c>
      <c r="CD56" s="59">
        <f ca="1">AVERAGE(OFFSET($CC$3,0,0,'Données projet'!$E$12+1,1))-AVERAGE(OFFSET($H$3,0,0,'Données projet'!$E$12+1,1))</f>
        <v>288.82868507674738</v>
      </c>
      <c r="CE56" s="59">
        <f t="shared" si="40"/>
        <v>283.48738729114024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1.6571828589659339</v>
      </c>
      <c r="CM56" s="21">
        <f>EXP(-LN(2)/2)*CM55+(1-EXP(-LN(2)/2))/(LN(2)/2)*CG56*CJ56*VLOOKUP('Données projet'!$B$12,Paramètres!$A$1:$I$89,3,0)*0.475*44/12</f>
        <v>1.129060128632483E-3</v>
      </c>
      <c r="CN56" s="22">
        <f t="shared" si="12"/>
        <v>1.6583119190945663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1.7053025658242404E-13</v>
      </c>
      <c r="O57" s="13">
        <f>N57*VLOOKUP('Données projet'!$B$9,Paramètres!$A$1:$I$89,3,0)*VLOOKUP('Données projet'!$B$9,Paramètres!$A$1:$I$89,5,0)</f>
        <v>1.250327841262333E-13</v>
      </c>
      <c r="P57" s="13">
        <f t="shared" si="33"/>
        <v>1.8301318724634299E-12</v>
      </c>
      <c r="Q57" s="20">
        <f t="shared" si="53"/>
        <v>3.405245110226996E-12</v>
      </c>
      <c r="R57" s="59">
        <f t="shared" si="0"/>
        <v>293.33333333333672</v>
      </c>
      <c r="S57" s="59">
        <f ca="1">AVERAGE(OFFSET($R$3,0,0,'Données projet'!$E$9+1,1))-AVERAGE(OFFSET($H$3,0,0,'Données projet'!$E$9+1,1))</f>
        <v>193.60868637458515</v>
      </c>
      <c r="T57" s="59">
        <f t="shared" si="34"/>
        <v>272.97841038165217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</v>
      </c>
      <c r="AI57" s="13">
        <f>IF('Données projet'!$A$62&gt;35,AI56+AH57-AQ56,IF(A57&lt;'Données projet'!$A$62,$AF$205^A57,IF(A57='Données projet'!$A$62,'Données projet'!$B$62,AI56+AH57-AQ56)))</f>
        <v>225.99999999999989</v>
      </c>
      <c r="AJ57" s="13">
        <f>AI57*VLOOKUP('Données projet'!$B$10,Paramètres!$A$1:$I$89,3,0)*VLOOKUP('Données projet'!$B$10,Paramètres!$A$1:$I$89,5,0)</f>
        <v>179.80559999999991</v>
      </c>
      <c r="AK57" s="13">
        <f t="shared" si="35"/>
        <v>45.278933028529984</v>
      </c>
      <c r="AL57" s="20">
        <f t="shared" si="4"/>
        <v>392.02222835802286</v>
      </c>
      <c r="AM57" s="59">
        <f t="shared" si="5"/>
        <v>685.35556169135612</v>
      </c>
      <c r="AN57" s="59">
        <f ca="1">AVERAGE(OFFSET($AM$3,0,0,'Données projet'!$E$10+1,1))-AVERAGE(OFFSET($H$3,0,0,'Données projet'!$E$10+1,1))</f>
        <v>238.56893947183841</v>
      </c>
      <c r="AO57" s="59">
        <f t="shared" si="36"/>
        <v>292.57799203101769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189</v>
      </c>
      <c r="BE57" s="13">
        <f>BD57*VLOOKUP('Données projet'!$B$11,Paramètres!$A$1:$I$89,3,0)*VLOOKUP('Données projet'!$B$11,Paramètres!$A$1:$I$89,5,0)</f>
        <v>171.00719999999998</v>
      </c>
      <c r="BF57" s="13">
        <f t="shared" si="37"/>
        <v>43.315525267338089</v>
      </c>
      <c r="BG57" s="20">
        <f t="shared" si="7"/>
        <v>373.27874650728046</v>
      </c>
      <c r="BH57" s="59">
        <f t="shared" si="8"/>
        <v>666.61207984061377</v>
      </c>
      <c r="BI57" s="59">
        <f ca="1">AVERAGE(OFFSET($BH$3,0,0,'Données projet'!$E$11+1,1))-AVERAGE(OFFSET($H$3,0,0,'Données projet'!$E$11+1,1))</f>
        <v>277.20405719540543</v>
      </c>
      <c r="BJ57" s="59">
        <f t="shared" si="38"/>
        <v>231.36959598460686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9.375</v>
      </c>
      <c r="BY57" s="12">
        <f>IF('Données projet'!$A$114&gt;35,BY56+BX57-CG56,IF(A57&lt;'Données projet'!$A$114,$BV$205^A57,IF(A57='Données projet'!$A$114,'Données projet'!$B$114,BY56+BX57-CG56)))</f>
        <v>240.74999999999989</v>
      </c>
      <c r="BZ57" s="13">
        <f>BY57*VLOOKUP('Données projet'!$B$12,Paramètres!$A$1:$I$89,3,0)*VLOOKUP('Données projet'!$B$12,Paramètres!$A$1:$I$89,5,0)</f>
        <v>187.78499999999991</v>
      </c>
      <c r="CA57" s="13">
        <f t="shared" si="39"/>
        <v>47.049914090154054</v>
      </c>
      <c r="CB57" s="20">
        <f t="shared" si="10"/>
        <v>409.0041420403515</v>
      </c>
      <c r="CC57" s="59">
        <f t="shared" si="11"/>
        <v>702.33747537368481</v>
      </c>
      <c r="CD57" s="59">
        <f ca="1">AVERAGE(OFFSET($CC$3,0,0,'Données projet'!$E$12+1,1))-AVERAGE(OFFSET($H$3,0,0,'Données projet'!$E$12+1,1))</f>
        <v>288.82868507674738</v>
      </c>
      <c r="CE57" s="59">
        <f t="shared" si="40"/>
        <v>283.48738729114024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1.6118671065400514</v>
      </c>
      <c r="CM57" s="21">
        <f>EXP(-LN(2)/2)*CM56+(1-EXP(-LN(2)/2))/(LN(2)/2)*CG57*CJ57*VLOOKUP('Données projet'!$B$12,Paramètres!$A$1:$I$89,3,0)*0.475*44/12</f>
        <v>7.9836607332338437E-4</v>
      </c>
      <c r="CN57" s="22">
        <f t="shared" si="12"/>
        <v>1.6126654726133747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1.7053025658242404E-13</v>
      </c>
      <c r="O58" s="13">
        <f>N58*VLOOKUP('Données projet'!$B$9,Paramètres!$A$1:$I$89,3,0)*VLOOKUP('Données projet'!$B$9,Paramètres!$A$1:$I$89,5,0)</f>
        <v>1.250327841262333E-13</v>
      </c>
      <c r="P58" s="13">
        <f t="shared" si="33"/>
        <v>1.8301318724634299E-12</v>
      </c>
      <c r="Q58" s="20">
        <f t="shared" si="53"/>
        <v>3.405245110226996E-12</v>
      </c>
      <c r="R58" s="59">
        <f t="shared" si="0"/>
        <v>293.33333333333672</v>
      </c>
      <c r="S58" s="59">
        <f ca="1">AVERAGE(OFFSET($R$3,0,0,'Données projet'!$E$9+1,1))-AVERAGE(OFFSET($H$3,0,0,'Données projet'!$E$9+1,1))</f>
        <v>193.60868637458515</v>
      </c>
      <c r="T58" s="59">
        <f t="shared" si="34"/>
        <v>272.97841038165217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232</v>
      </c>
      <c r="AG58" s="12">
        <f>VLOOKUP(A58,'Données projet'!$A$61:$I$81,9,0)</f>
        <v>6</v>
      </c>
      <c r="AH58" s="12">
        <f t="array" ref="AH58">INDEX(AG:AG,MIN(IF(ISNUMBER(AG58:AG254),ROW(AG58:AG254),"")))</f>
        <v>6</v>
      </c>
      <c r="AI58" s="13">
        <f>IF('Données projet'!$A$62&gt;35,AI57+AH58-AQ57,IF(A58&lt;'Données projet'!$A$62,$AF$205^A58,IF(A58='Données projet'!$A$62,'Données projet'!$B$62,AI57+AH58-AQ57)))</f>
        <v>231.99999999999989</v>
      </c>
      <c r="AJ58" s="13">
        <f>AI58*VLOOKUP('Données projet'!$B$10,Paramètres!$A$1:$I$89,3,0)*VLOOKUP('Données projet'!$B$10,Paramètres!$A$1:$I$89,5,0)</f>
        <v>184.57919999999993</v>
      </c>
      <c r="AK58" s="13">
        <f t="shared" si="35"/>
        <v>46.339479465836618</v>
      </c>
      <c r="AL58" s="20">
        <f t="shared" si="4"/>
        <v>402.18336673633195</v>
      </c>
      <c r="AM58" s="59">
        <f t="shared" si="5"/>
        <v>695.51670006966526</v>
      </c>
      <c r="AN58" s="59">
        <f ca="1">AVERAGE(OFFSET($AM$3,0,0,'Données projet'!$E$10+1,1))-AVERAGE(OFFSET($H$3,0,0,'Données projet'!$E$10+1,1))</f>
        <v>238.56893947183841</v>
      </c>
      <c r="AO58" s="59">
        <f t="shared" si="36"/>
        <v>292.57799203101769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13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197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197</v>
      </c>
      <c r="BE58" s="13">
        <f>BD58*VLOOKUP('Données projet'!$B$11,Paramètres!$A$1:$I$89,3,0)*VLOOKUP('Données projet'!$B$11,Paramètres!$A$1:$I$89,5,0)</f>
        <v>178.2456</v>
      </c>
      <c r="BF58" s="13">
        <f t="shared" si="37"/>
        <v>44.931642269910427</v>
      </c>
      <c r="BG58" s="20">
        <f t="shared" si="7"/>
        <v>388.70036362009404</v>
      </c>
      <c r="BH58" s="59">
        <f t="shared" si="8"/>
        <v>682.03369695342735</v>
      </c>
      <c r="BI58" s="59">
        <f ca="1">AVERAGE(OFFSET($BH$3,0,0,'Données projet'!$E$11+1,1))-AVERAGE(OFFSET($H$3,0,0,'Données projet'!$E$11+1,1))</f>
        <v>277.20405719540543</v>
      </c>
      <c r="BJ58" s="59">
        <f t="shared" si="38"/>
        <v>231.36959598460686</v>
      </c>
      <c r="BK58" s="15">
        <f>IF(ISNA(VLOOKUP(A58,'Données projet'!$A$87:$I$107,3,0)),0,VLOOKUP(A58,'Données projet'!$A$87:$I$107,3,0))</f>
        <v>8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9.375</v>
      </c>
      <c r="BY58" s="12">
        <f>IF('Données projet'!$A$114&gt;35,BY57+BX58-CG57,IF(A58&lt;'Données projet'!$A$114,$BV$205^A58,IF(A58='Données projet'!$A$114,'Données projet'!$B$114,BY57+BX58-CG57)))</f>
        <v>250.12499999999989</v>
      </c>
      <c r="BZ58" s="13">
        <f>BY58*VLOOKUP('Données projet'!$B$12,Paramètres!$A$1:$I$89,3,0)*VLOOKUP('Données projet'!$B$12,Paramètres!$A$1:$I$89,5,0)</f>
        <v>195.09749999999991</v>
      </c>
      <c r="CA58" s="13">
        <f t="shared" si="39"/>
        <v>48.66519532492579</v>
      </c>
      <c r="CB58" s="20">
        <f t="shared" si="10"/>
        <v>424.55336102424553</v>
      </c>
      <c r="CC58" s="59">
        <f t="shared" si="11"/>
        <v>717.88669435757879</v>
      </c>
      <c r="CD58" s="59">
        <f ca="1">AVERAGE(OFFSET($CC$3,0,0,'Données projet'!$E$12+1,1))-AVERAGE(OFFSET($H$3,0,0,'Données projet'!$E$12+1,1))</f>
        <v>288.82868507674738</v>
      </c>
      <c r="CE58" s="59">
        <f t="shared" si="40"/>
        <v>283.48738729114024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1.5677905157473064</v>
      </c>
      <c r="CM58" s="21">
        <f>EXP(-LN(2)/2)*CM57+(1-EXP(-LN(2)/2))/(LN(2)/2)*CG58*CJ58*VLOOKUP('Données projet'!$B$12,Paramètres!$A$1:$I$89,3,0)*0.475*44/12</f>
        <v>5.6453006431624151E-4</v>
      </c>
      <c r="CN58" s="22">
        <f t="shared" si="12"/>
        <v>1.5683550458116227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1.7053025658242404E-13</v>
      </c>
      <c r="O59" s="13">
        <f>N59*VLOOKUP('Données projet'!$B$9,Paramètres!$A$1:$I$89,3,0)*VLOOKUP('Données projet'!$B$9,Paramètres!$A$1:$I$89,5,0)</f>
        <v>1.250327841262333E-13</v>
      </c>
      <c r="P59" s="13">
        <f t="shared" si="33"/>
        <v>1.8301318724634299E-12</v>
      </c>
      <c r="Q59" s="20">
        <f t="shared" si="53"/>
        <v>3.405245110226996E-12</v>
      </c>
      <c r="R59" s="59">
        <f t="shared" si="0"/>
        <v>293.33333333333672</v>
      </c>
      <c r="S59" s="59">
        <f ca="1">AVERAGE(OFFSET($R$3,0,0,'Données projet'!$E$9+1,1))-AVERAGE(OFFSET($H$3,0,0,'Données projet'!$E$9+1,1))</f>
        <v>193.60868637458515</v>
      </c>
      <c r="T59" s="59">
        <f t="shared" si="34"/>
        <v>272.97841038165217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5.2</v>
      </c>
      <c r="AI59" s="13">
        <f>IF('Données projet'!$A$62&gt;35,AI58+AH59-AQ58,IF(A59&lt;'Données projet'!$A$62,$AF$205^A59,IF(A59='Données projet'!$A$62,'Données projet'!$B$62,AI58+AH59-AQ58)))</f>
        <v>224.19999999999987</v>
      </c>
      <c r="AJ59" s="13">
        <f>AI59*VLOOKUP('Données projet'!$B$10,Paramètres!$A$1:$I$89,3,0)*VLOOKUP('Données projet'!$B$10,Paramètres!$A$1:$I$89,5,0)</f>
        <v>178.37351999999993</v>
      </c>
      <c r="AK59" s="13">
        <f t="shared" si="35"/>
        <v>44.960133388294842</v>
      </c>
      <c r="AL59" s="20">
        <f t="shared" si="4"/>
        <v>388.97277965128006</v>
      </c>
      <c r="AM59" s="59">
        <f t="shared" si="5"/>
        <v>682.30611298461338</v>
      </c>
      <c r="AN59" s="59">
        <f ca="1">AVERAGE(OFFSET($AM$3,0,0,'Données projet'!$E$10+1,1))-AVERAGE(OFFSET($H$3,0,0,'Données projet'!$E$10+1,1))</f>
        <v>238.56893947183841</v>
      </c>
      <c r="AO59" s="59">
        <f t="shared" si="36"/>
        <v>292.57799203101769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183.6</v>
      </c>
      <c r="BE59" s="13">
        <f>BD59*VLOOKUP('Données projet'!$B$11,Paramètres!$A$1:$I$89,3,0)*VLOOKUP('Données projet'!$B$11,Paramètres!$A$1:$I$89,5,0)</f>
        <v>166.12127999999998</v>
      </c>
      <c r="BF59" s="13">
        <f t="shared" si="37"/>
        <v>42.220155874487318</v>
      </c>
      <c r="BG59" s="20">
        <f t="shared" si="7"/>
        <v>362.8613341480654</v>
      </c>
      <c r="BH59" s="59">
        <f t="shared" si="8"/>
        <v>656.19466748139871</v>
      </c>
      <c r="BI59" s="59">
        <f ca="1">AVERAGE(OFFSET($BH$3,0,0,'Données projet'!$E$11+1,1))-AVERAGE(OFFSET($H$3,0,0,'Données projet'!$E$11+1,1))</f>
        <v>277.20405719540543</v>
      </c>
      <c r="BJ59" s="59">
        <f t="shared" si="38"/>
        <v>231.36959598460686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9.375</v>
      </c>
      <c r="BY59" s="12">
        <f>IF('Données projet'!$A$114&gt;35,BY58+BX59-CG58,IF(A59&lt;'Données projet'!$A$114,$BV$205^A59,IF(A59='Données projet'!$A$114,'Données projet'!$B$114,BY58+BX59-CG58)))</f>
        <v>259.49999999999989</v>
      </c>
      <c r="BZ59" s="13">
        <f>BY59*VLOOKUP('Données projet'!$B$12,Paramètres!$A$1:$I$89,3,0)*VLOOKUP('Données projet'!$B$12,Paramètres!$A$1:$I$89,5,0)</f>
        <v>202.40999999999991</v>
      </c>
      <c r="CA59" s="13">
        <f t="shared" si="39"/>
        <v>50.273442991661817</v>
      </c>
      <c r="CB59" s="20">
        <f t="shared" si="10"/>
        <v>440.09032987714414</v>
      </c>
      <c r="CC59" s="59">
        <f t="shared" si="11"/>
        <v>733.42366321047746</v>
      </c>
      <c r="CD59" s="59">
        <f ca="1">AVERAGE(OFFSET($CC$3,0,0,'Données projet'!$E$12+1,1))-AVERAGE(OFFSET($H$3,0,0,'Données projet'!$E$12+1,1))</f>
        <v>288.82868507674738</v>
      </c>
      <c r="CE59" s="59">
        <f t="shared" si="40"/>
        <v>283.48738729114024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1.5249192016476762</v>
      </c>
      <c r="CM59" s="21">
        <f>EXP(-LN(2)/2)*CM58+(1-EXP(-LN(2)/2))/(LN(2)/2)*CG59*CJ59*VLOOKUP('Données projet'!$B$12,Paramètres!$A$1:$I$89,3,0)*0.475*44/12</f>
        <v>3.9918303666169219E-4</v>
      </c>
      <c r="CN59" s="22">
        <f t="shared" si="12"/>
        <v>1.5253183846843379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1.7053025658242404E-13</v>
      </c>
      <c r="O60" s="13">
        <f>N60*VLOOKUP('Données projet'!$B$9,Paramètres!$A$1:$I$89,3,0)*VLOOKUP('Données projet'!$B$9,Paramètres!$A$1:$I$89,5,0)</f>
        <v>1.250327841262333E-13</v>
      </c>
      <c r="P60" s="13">
        <f t="shared" si="33"/>
        <v>1.8301318724634299E-12</v>
      </c>
      <c r="Q60" s="20">
        <f t="shared" si="53"/>
        <v>3.405245110226996E-12</v>
      </c>
      <c r="R60" s="59">
        <f t="shared" si="0"/>
        <v>293.33333333333672</v>
      </c>
      <c r="S60" s="59">
        <f ca="1">AVERAGE(OFFSET($R$3,0,0,'Données projet'!$E$9+1,1))-AVERAGE(OFFSET($H$3,0,0,'Données projet'!$E$9+1,1))</f>
        <v>193.60868637458515</v>
      </c>
      <c r="T60" s="59">
        <f t="shared" si="34"/>
        <v>272.97841038165217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5.2</v>
      </c>
      <c r="AI60" s="13">
        <f>IF('Données projet'!$A$62&gt;35,AI59+AH60-AQ59,IF(A60&lt;'Données projet'!$A$62,$AF$205^A60,IF(A60='Données projet'!$A$62,'Données projet'!$B$62,AI59+AH60-AQ59)))</f>
        <v>229.39999999999986</v>
      </c>
      <c r="AJ60" s="13">
        <f>AI60*VLOOKUP('Données projet'!$B$10,Paramètres!$A$1:$I$89,3,0)*VLOOKUP('Données projet'!$B$10,Paramètres!$A$1:$I$89,5,0)</f>
        <v>182.51063999999988</v>
      </c>
      <c r="AK60" s="13">
        <f t="shared" si="35"/>
        <v>45.880306213791371</v>
      </c>
      <c r="AL60" s="20">
        <f t="shared" si="4"/>
        <v>397.78089798901971</v>
      </c>
      <c r="AM60" s="59">
        <f t="shared" si="5"/>
        <v>691.11423132235302</v>
      </c>
      <c r="AN60" s="59">
        <f ca="1">AVERAGE(OFFSET($AM$3,0,0,'Données projet'!$E$10+1,1))-AVERAGE(OFFSET($H$3,0,0,'Données projet'!$E$10+1,1))</f>
        <v>238.56893947183841</v>
      </c>
      <c r="AO60" s="59">
        <f t="shared" si="36"/>
        <v>292.57799203101769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191.2</v>
      </c>
      <c r="BE60" s="13">
        <f>BD60*VLOOKUP('Données projet'!$B$11,Paramètres!$A$1:$I$89,3,0)*VLOOKUP('Données projet'!$B$11,Paramètres!$A$1:$I$89,5,0)</f>
        <v>172.99775999999997</v>
      </c>
      <c r="BF60" s="13">
        <f t="shared" si="37"/>
        <v>43.760737531919609</v>
      </c>
      <c r="BG60" s="20">
        <f t="shared" si="7"/>
        <v>377.52104986809326</v>
      </c>
      <c r="BH60" s="59">
        <f t="shared" si="8"/>
        <v>670.85438320142657</v>
      </c>
      <c r="BI60" s="59">
        <f ca="1">AVERAGE(OFFSET($BH$3,0,0,'Données projet'!$E$11+1,1))-AVERAGE(OFFSET($H$3,0,0,'Données projet'!$E$11+1,1))</f>
        <v>277.20405719540543</v>
      </c>
      <c r="BJ60" s="59">
        <f t="shared" si="38"/>
        <v>231.36959598460686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9.375</v>
      </c>
      <c r="BY60" s="12">
        <f>IF('Données projet'!$A$114&gt;35,BY59+BX60-CG59,IF(A60&lt;'Données projet'!$A$114,$BV$205^A60,IF(A60='Données projet'!$A$114,'Données projet'!$B$114,BY59+BX60-CG59)))</f>
        <v>268.87499999999989</v>
      </c>
      <c r="BZ60" s="13">
        <f>BY60*VLOOKUP('Données projet'!$B$12,Paramètres!$A$1:$I$89,3,0)*VLOOKUP('Données projet'!$B$12,Paramètres!$A$1:$I$89,5,0)</f>
        <v>209.72249999999991</v>
      </c>
      <c r="CA60" s="13">
        <f t="shared" si="39"/>
        <v>51.874940300502246</v>
      </c>
      <c r="CB60" s="20">
        <f t="shared" si="10"/>
        <v>455.61554185670792</v>
      </c>
      <c r="CC60" s="59">
        <f t="shared" si="11"/>
        <v>748.94887519004124</v>
      </c>
      <c r="CD60" s="59">
        <f ca="1">AVERAGE(OFFSET($CC$3,0,0,'Données projet'!$E$12+1,1))-AVERAGE(OFFSET($H$3,0,0,'Données projet'!$E$12+1,1))</f>
        <v>288.82868507674738</v>
      </c>
      <c r="CE60" s="59">
        <f t="shared" si="40"/>
        <v>283.48738729114024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1.4832202058866051</v>
      </c>
      <c r="CM60" s="21">
        <f>EXP(-LN(2)/2)*CM59+(1-EXP(-LN(2)/2))/(LN(2)/2)*CG60*CJ60*VLOOKUP('Données projet'!$B$12,Paramètres!$A$1:$I$89,3,0)*0.475*44/12</f>
        <v>2.8226503215812075E-4</v>
      </c>
      <c r="CN60" s="22">
        <f t="shared" si="12"/>
        <v>1.4835024709187632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1.7053025658242404E-13</v>
      </c>
      <c r="O61" s="13">
        <f>N61*VLOOKUP('Données projet'!$B$9,Paramètres!$A$1:$I$89,3,0)*VLOOKUP('Données projet'!$B$9,Paramètres!$A$1:$I$89,5,0)</f>
        <v>1.250327841262333E-13</v>
      </c>
      <c r="P61" s="13">
        <f t="shared" si="33"/>
        <v>1.8301318724634299E-12</v>
      </c>
      <c r="Q61" s="20">
        <f t="shared" si="53"/>
        <v>3.405245110226996E-12</v>
      </c>
      <c r="R61" s="59">
        <f t="shared" si="0"/>
        <v>293.33333333333672</v>
      </c>
      <c r="S61" s="59">
        <f ca="1">AVERAGE(OFFSET($R$3,0,0,'Données projet'!$E$9+1,1))-AVERAGE(OFFSET($H$3,0,0,'Données projet'!$E$9+1,1))</f>
        <v>193.60868637458515</v>
      </c>
      <c r="T61" s="59">
        <f t="shared" si="34"/>
        <v>272.97841038165217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5.2</v>
      </c>
      <c r="AI61" s="13">
        <f>IF('Données projet'!$A$62&gt;35,AI60+AH61-AQ60,IF(A61&lt;'Données projet'!$A$62,$AF$205^A61,IF(A61='Données projet'!$A$62,'Données projet'!$B$62,AI60+AH61-AQ60)))</f>
        <v>234.59999999999985</v>
      </c>
      <c r="AJ61" s="13">
        <f>AI61*VLOOKUP('Données projet'!$B$10,Paramètres!$A$1:$I$89,3,0)*VLOOKUP('Données projet'!$B$10,Paramètres!$A$1:$I$89,5,0)</f>
        <v>186.64775999999989</v>
      </c>
      <c r="AK61" s="13">
        <f t="shared" si="35"/>
        <v>46.79805411155214</v>
      </c>
      <c r="AL61" s="20">
        <f t="shared" si="4"/>
        <v>406.58479291095313</v>
      </c>
      <c r="AM61" s="59">
        <f t="shared" si="5"/>
        <v>699.91812624428644</v>
      </c>
      <c r="AN61" s="59">
        <f ca="1">AVERAGE(OFFSET($AM$3,0,0,'Données projet'!$E$10+1,1))-AVERAGE(OFFSET($H$3,0,0,'Données projet'!$E$10+1,1))</f>
        <v>238.56893947183841</v>
      </c>
      <c r="AO61" s="59">
        <f t="shared" si="36"/>
        <v>292.57799203101769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198.79999999999998</v>
      </c>
      <c r="BE61" s="13">
        <f>BD61*VLOOKUP('Données projet'!$B$11,Paramètres!$A$1:$I$89,3,0)*VLOOKUP('Données projet'!$B$11,Paramètres!$A$1:$I$89,5,0)</f>
        <v>179.87423999999999</v>
      </c>
      <c r="BF61" s="13">
        <f t="shared" si="37"/>
        <v>45.294205745553846</v>
      </c>
      <c r="BG61" s="20">
        <f t="shared" si="7"/>
        <v>392.16837634017293</v>
      </c>
      <c r="BH61" s="59">
        <f t="shared" si="8"/>
        <v>685.50170967350618</v>
      </c>
      <c r="BI61" s="59">
        <f ca="1">AVERAGE(OFFSET($BH$3,0,0,'Données projet'!$E$11+1,1))-AVERAGE(OFFSET($H$3,0,0,'Données projet'!$E$11+1,1))</f>
        <v>277.20405719540543</v>
      </c>
      <c r="BJ61" s="59">
        <f t="shared" si="38"/>
        <v>231.36959598460686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9.375</v>
      </c>
      <c r="BY61" s="12">
        <f>IF('Données projet'!$A$114&gt;35,BY60+BX61-CG60,IF(A61&lt;'Données projet'!$A$114,$BV$205^A61,IF(A61='Données projet'!$A$114,'Données projet'!$B$114,BY60+BX61-CG60)))</f>
        <v>278.24999999999989</v>
      </c>
      <c r="BZ61" s="13">
        <f>BY61*VLOOKUP('Données projet'!$B$12,Paramètres!$A$1:$I$89,3,0)*VLOOKUP('Données projet'!$B$12,Paramètres!$A$1:$I$89,5,0)</f>
        <v>217.03499999999991</v>
      </c>
      <c r="CA61" s="13">
        <f t="shared" si="39"/>
        <v>53.469949591969474</v>
      </c>
      <c r="CB61" s="20">
        <f t="shared" si="10"/>
        <v>471.12945387267996</v>
      </c>
      <c r="CC61" s="59">
        <f t="shared" si="11"/>
        <v>764.46278720601322</v>
      </c>
      <c r="CD61" s="59">
        <f ca="1">AVERAGE(OFFSET($CC$3,0,0,'Données projet'!$E$12+1,1))-AVERAGE(OFFSET($H$3,0,0,'Données projet'!$E$12+1,1))</f>
        <v>288.82868507674738</v>
      </c>
      <c r="CE61" s="59">
        <f t="shared" si="40"/>
        <v>283.48738729114024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1.4426614713574752</v>
      </c>
      <c r="CM61" s="21">
        <f>EXP(-LN(2)/2)*CM60+(1-EXP(-LN(2)/2))/(LN(2)/2)*CG61*CJ61*VLOOKUP('Données projet'!$B$12,Paramètres!$A$1:$I$89,3,0)*0.475*44/12</f>
        <v>1.9959151833084609E-4</v>
      </c>
      <c r="CN61" s="22">
        <f t="shared" si="12"/>
        <v>1.4428610628758061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1.7053025658242404E-13</v>
      </c>
      <c r="O62" s="13">
        <f>N62*VLOOKUP('Données projet'!$B$9,Paramètres!$A$1:$I$89,3,0)*VLOOKUP('Données projet'!$B$9,Paramètres!$A$1:$I$89,5,0)</f>
        <v>1.250327841262333E-13</v>
      </c>
      <c r="P62" s="13">
        <f t="shared" si="33"/>
        <v>1.8301318724634299E-12</v>
      </c>
      <c r="Q62" s="20">
        <f t="shared" si="53"/>
        <v>3.405245110226996E-12</v>
      </c>
      <c r="R62" s="59">
        <f t="shared" si="0"/>
        <v>293.33333333333672</v>
      </c>
      <c r="S62" s="59">
        <f ca="1">AVERAGE(OFFSET($R$3,0,0,'Données projet'!$E$9+1,1))-AVERAGE(OFFSET($H$3,0,0,'Données projet'!$E$9+1,1))</f>
        <v>193.60868637458515</v>
      </c>
      <c r="T62" s="59">
        <f t="shared" si="34"/>
        <v>272.97841038165217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5.2</v>
      </c>
      <c r="AI62" s="13">
        <f>IF('Données projet'!$A$62&gt;35,AI61+AH62-AQ61,IF(A62&lt;'Données projet'!$A$62,$AF$205^A62,IF(A62='Données projet'!$A$62,'Données projet'!$B$62,AI61+AH62-AQ61)))</f>
        <v>239.79999999999984</v>
      </c>
      <c r="AJ62" s="13">
        <f>AI62*VLOOKUP('Données projet'!$B$10,Paramètres!$A$1:$I$89,3,0)*VLOOKUP('Données projet'!$B$10,Paramètres!$A$1:$I$89,5,0)</f>
        <v>190.78487999999987</v>
      </c>
      <c r="AK62" s="13">
        <f t="shared" si="35"/>
        <v>47.713437020051622</v>
      </c>
      <c r="AL62" s="20">
        <f t="shared" si="4"/>
        <v>415.384568809923</v>
      </c>
      <c r="AM62" s="59">
        <f t="shared" si="5"/>
        <v>708.71790214325631</v>
      </c>
      <c r="AN62" s="59">
        <f ca="1">AVERAGE(OFFSET($AM$3,0,0,'Données projet'!$E$10+1,1))-AVERAGE(OFFSET($H$3,0,0,'Données projet'!$E$10+1,1))</f>
        <v>238.56893947183841</v>
      </c>
      <c r="AO62" s="59">
        <f t="shared" si="36"/>
        <v>292.57799203101769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206.39999999999998</v>
      </c>
      <c r="BE62" s="13">
        <f>BD62*VLOOKUP('Données projet'!$B$11,Paramètres!$A$1:$I$89,3,0)*VLOOKUP('Données projet'!$B$11,Paramètres!$A$1:$I$89,5,0)</f>
        <v>186.75071999999997</v>
      </c>
      <c r="BF62" s="13">
        <f t="shared" si="37"/>
        <v>46.820863587839391</v>
      </c>
      <c r="BG62" s="20">
        <f t="shared" si="7"/>
        <v>406.80384141548689</v>
      </c>
      <c r="BH62" s="59">
        <f t="shared" si="8"/>
        <v>700.13717474882014</v>
      </c>
      <c r="BI62" s="59">
        <f ca="1">AVERAGE(OFFSET($BH$3,0,0,'Données projet'!$E$11+1,1))-AVERAGE(OFFSET($H$3,0,0,'Données projet'!$E$11+1,1))</f>
        <v>277.20405719540543</v>
      </c>
      <c r="BJ62" s="59">
        <f t="shared" si="38"/>
        <v>231.36959598460686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9.375</v>
      </c>
      <c r="BY62" s="12">
        <f>IF('Données projet'!$A$114&gt;35,BY61+BX62-CG61,IF(A62&lt;'Données projet'!$A$114,$BV$205^A62,IF(A62='Données projet'!$A$114,'Données projet'!$B$114,BY61+BX62-CG61)))</f>
        <v>287.62499999999989</v>
      </c>
      <c r="BZ62" s="13">
        <f>BY62*VLOOKUP('Données projet'!$B$12,Paramètres!$A$1:$I$89,3,0)*VLOOKUP('Données projet'!$B$12,Paramètres!$A$1:$I$89,5,0)</f>
        <v>224.34749999999991</v>
      </c>
      <c r="CA62" s="13">
        <f t="shared" si="39"/>
        <v>55.058714525680429</v>
      </c>
      <c r="CB62" s="20">
        <f t="shared" si="10"/>
        <v>486.63249029889329</v>
      </c>
      <c r="CC62" s="59">
        <f t="shared" si="11"/>
        <v>779.9658236322266</v>
      </c>
      <c r="CD62" s="59">
        <f ca="1">AVERAGE(OFFSET($CC$3,0,0,'Données projet'!$E$12+1,1))-AVERAGE(OFFSET($H$3,0,0,'Données projet'!$E$12+1,1))</f>
        <v>288.82868507674738</v>
      </c>
      <c r="CE62" s="59">
        <f t="shared" si="40"/>
        <v>283.48738729114024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1.4032118175569355</v>
      </c>
      <c r="CM62" s="21">
        <f>EXP(-LN(2)/2)*CM61+(1-EXP(-LN(2)/2))/(LN(2)/2)*CG62*CJ62*VLOOKUP('Données projet'!$B$12,Paramètres!$A$1:$I$89,3,0)*0.475*44/12</f>
        <v>1.4113251607906038E-4</v>
      </c>
      <c r="CN62" s="22">
        <f t="shared" si="12"/>
        <v>1.4033529500730146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1.7053025658242404E-13</v>
      </c>
      <c r="O63" s="13">
        <f>N63*VLOOKUP('Données projet'!$B$9,Paramètres!$A$1:$I$89,3,0)*VLOOKUP('Données projet'!$B$9,Paramètres!$A$1:$I$89,5,0)</f>
        <v>1.250327841262333E-13</v>
      </c>
      <c r="P63" s="13">
        <f t="shared" si="33"/>
        <v>1.8301318724634299E-12</v>
      </c>
      <c r="Q63" s="20">
        <f t="shared" si="53"/>
        <v>3.405245110226996E-12</v>
      </c>
      <c r="R63" s="59">
        <f t="shared" si="0"/>
        <v>293.33333333333672</v>
      </c>
      <c r="S63" s="59">
        <f ca="1">AVERAGE(OFFSET($R$3,0,0,'Données projet'!$E$9+1,1))-AVERAGE(OFFSET($H$3,0,0,'Données projet'!$E$9+1,1))</f>
        <v>193.60868637458515</v>
      </c>
      <c r="T63" s="59">
        <f t="shared" si="34"/>
        <v>272.97841038165217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245</v>
      </c>
      <c r="AG63" s="12">
        <f>VLOOKUP(A63,'Données projet'!$A$61:$I$81,9,0)</f>
        <v>5.2</v>
      </c>
      <c r="AH63" s="12">
        <f t="array" ref="AH63">INDEX(AG:AG,MIN(IF(ISNUMBER(AG63:AG259),ROW(AG63:AG259),"")))</f>
        <v>5.2</v>
      </c>
      <c r="AI63" s="13">
        <f>IF('Données projet'!$A$62&gt;35,AI62+AH63-AQ62,IF(A63&lt;'Données projet'!$A$62,$AF$205^A63,IF(A63='Données projet'!$A$62,'Données projet'!$B$62,AI62+AH63-AQ62)))</f>
        <v>244.99999999999983</v>
      </c>
      <c r="AJ63" s="13">
        <f>AI63*VLOOKUP('Données projet'!$B$10,Paramètres!$A$1:$I$89,3,0)*VLOOKUP('Données projet'!$B$10,Paramètres!$A$1:$I$89,5,0)</f>
        <v>194.92199999999988</v>
      </c>
      <c r="AK63" s="13">
        <f t="shared" si="35"/>
        <v>48.626512129794925</v>
      </c>
      <c r="AL63" s="20">
        <f t="shared" si="4"/>
        <v>424.18032529272591</v>
      </c>
      <c r="AM63" s="59">
        <f t="shared" si="5"/>
        <v>717.51365862605917</v>
      </c>
      <c r="AN63" s="59">
        <f ca="1">AVERAGE(OFFSET($AM$3,0,0,'Données projet'!$E$10+1,1))-AVERAGE(OFFSET($H$3,0,0,'Données projet'!$E$10+1,1))</f>
        <v>238.56893947183841</v>
      </c>
      <c r="AO63" s="59">
        <f t="shared" si="36"/>
        <v>292.57799203101769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245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213.99999999999997</v>
      </c>
      <c r="BE63" s="13">
        <f>BD63*VLOOKUP('Données projet'!$B$11,Paramètres!$A$1:$I$89,3,0)*VLOOKUP('Données projet'!$B$11,Paramètres!$A$1:$I$89,5,0)</f>
        <v>193.62719999999996</v>
      </c>
      <c r="BF63" s="13">
        <f t="shared" si="37"/>
        <v>48.340990547231193</v>
      </c>
      <c r="BG63" s="20">
        <f t="shared" si="7"/>
        <v>421.42793186976087</v>
      </c>
      <c r="BH63" s="59">
        <f t="shared" si="8"/>
        <v>714.76126520309413</v>
      </c>
      <c r="BI63" s="59">
        <f ca="1">AVERAGE(OFFSET($BH$3,0,0,'Données projet'!$E$11+1,1))-AVERAGE(OFFSET($H$3,0,0,'Données projet'!$E$11+1,1))</f>
        <v>277.20405719540543</v>
      </c>
      <c r="BJ63" s="59">
        <f t="shared" si="38"/>
        <v>231.36959598460686</v>
      </c>
      <c r="BK63" s="15">
        <f>IF(ISNA(VLOOKUP(A63,'Données projet'!$A$87:$I$107,3,0)),0,VLOOKUP(A63,'Données projet'!$A$87:$I$107,3,0))</f>
        <v>9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297</v>
      </c>
      <c r="BW63" s="12">
        <f>VLOOKUP(A63,'Données projet'!$A$113:$I$133,9,0)</f>
        <v>9.375</v>
      </c>
      <c r="BX63" s="12">
        <f t="array" ref="BX63">INDEX(BW:BW,MIN(IF(ISNUMBER(BW63:BW259),ROW(BW63:BW259),"")))</f>
        <v>9.375</v>
      </c>
      <c r="BY63" s="12">
        <f>IF('Données projet'!$A$114&gt;35,BY62+BX63-CG62,IF(A63&lt;'Données projet'!$A$114,$BV$205^A63,IF(A63='Données projet'!$A$114,'Données projet'!$B$114,BY62+BX63-CG62)))</f>
        <v>296.99999999999989</v>
      </c>
      <c r="BZ63" s="13">
        <f>BY63*VLOOKUP('Données projet'!$B$12,Paramètres!$A$1:$I$89,3,0)*VLOOKUP('Données projet'!$B$12,Paramètres!$A$1:$I$89,5,0)</f>
        <v>231.65999999999991</v>
      </c>
      <c r="CA63" s="13">
        <f t="shared" si="39"/>
        <v>56.641461975682766</v>
      </c>
      <c r="CB63" s="20">
        <f t="shared" si="10"/>
        <v>502.125046274314</v>
      </c>
      <c r="CC63" s="59">
        <f t="shared" si="11"/>
        <v>795.45837960764732</v>
      </c>
      <c r="CD63" s="59">
        <f ca="1">AVERAGE(OFFSET($CC$3,0,0,'Données projet'!$E$12+1,1))-AVERAGE(OFFSET($H$3,0,0,'Données projet'!$E$12+1,1))</f>
        <v>288.82868507674738</v>
      </c>
      <c r="CE63" s="59">
        <f t="shared" si="40"/>
        <v>283.48738729114024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47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1.3648409166141386</v>
      </c>
      <c r="CM63" s="21">
        <f>EXP(-LN(2)/2)*CM62+(1-EXP(-LN(2)/2))/(LN(2)/2)*CG63*CJ63*VLOOKUP('Données projet'!$B$12,Paramètres!$A$1:$I$89,3,0)*0.475*44/12</f>
        <v>9.9795759165423046E-5</v>
      </c>
      <c r="CN63" s="22">
        <f t="shared" si="12"/>
        <v>1.3649407123733042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1.7053025658242404E-13</v>
      </c>
      <c r="O64" s="13">
        <f>N64*VLOOKUP('Données projet'!$B$9,Paramètres!$A$1:$I$89,3,0)*VLOOKUP('Données projet'!$B$9,Paramètres!$A$1:$I$89,5,0)</f>
        <v>1.250327841262333E-13</v>
      </c>
      <c r="P64" s="13">
        <f t="shared" si="33"/>
        <v>1.8301318724634299E-12</v>
      </c>
      <c r="Q64" s="20">
        <f t="shared" si="53"/>
        <v>3.405245110226996E-12</v>
      </c>
      <c r="R64" s="59">
        <f t="shared" si="0"/>
        <v>293.33333333333672</v>
      </c>
      <c r="S64" s="59">
        <f ca="1">AVERAGE(OFFSET($R$3,0,0,'Données projet'!$E$9+1,1))-AVERAGE(OFFSET($H$3,0,0,'Données projet'!$E$9+1,1))</f>
        <v>193.60868637458515</v>
      </c>
      <c r="T64" s="59">
        <f t="shared" si="34"/>
        <v>272.97841038165217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-1.7053025658242404E-13</v>
      </c>
      <c r="AJ64" s="13">
        <f>AI64*VLOOKUP('Données projet'!$B$10,Paramètres!$A$1:$I$89,3,0)*VLOOKUP('Données projet'!$B$10,Paramètres!$A$1:$I$89,5,0)</f>
        <v>-1.3567387213697657E-13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238.56893947183841</v>
      </c>
      <c r="AO64" s="59">
        <f t="shared" si="36"/>
        <v>292.57799203101769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200.19999999999996</v>
      </c>
      <c r="BE64" s="13">
        <f>BD64*VLOOKUP('Données projet'!$B$11,Paramètres!$A$1:$I$89,3,0)*VLOOKUP('Données projet'!$B$11,Paramètres!$A$1:$I$89,5,0)</f>
        <v>181.14095999999995</v>
      </c>
      <c r="BF64" s="13">
        <f t="shared" si="37"/>
        <v>45.575935320610945</v>
      </c>
      <c r="BG64" s="20">
        <f t="shared" si="7"/>
        <v>394.86525935006392</v>
      </c>
      <c r="BH64" s="59">
        <f t="shared" si="8"/>
        <v>688.19859268339724</v>
      </c>
      <c r="BI64" s="59">
        <f ca="1">AVERAGE(OFFSET($BH$3,0,0,'Données projet'!$E$11+1,1))-AVERAGE(OFFSET($H$3,0,0,'Données projet'!$E$11+1,1))</f>
        <v>277.20405719540543</v>
      </c>
      <c r="BJ64" s="59">
        <f t="shared" si="38"/>
        <v>231.36959598460686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8.6666666666666661</v>
      </c>
      <c r="BY64" s="12">
        <f>IF('Données projet'!$A$114&gt;35,BY63+BX64-CG63,IF(A64&lt;'Données projet'!$A$114,$BV$205^A64,IF(A64='Données projet'!$A$114,'Données projet'!$B$114,BY63+BX64-CG63)))</f>
        <v>258.66666666666657</v>
      </c>
      <c r="BZ64" s="13">
        <f>BY64*VLOOKUP('Données projet'!$B$12,Paramètres!$A$1:$I$89,3,0)*VLOOKUP('Données projet'!$B$12,Paramètres!$A$1:$I$89,5,0)</f>
        <v>201.75999999999993</v>
      </c>
      <c r="CA64" s="13">
        <f t="shared" si="39"/>
        <v>50.130765000424169</v>
      </c>
      <c r="CB64" s="20">
        <f t="shared" si="10"/>
        <v>438.70974904240529</v>
      </c>
      <c r="CC64" s="59">
        <f t="shared" si="11"/>
        <v>732.04308237573855</v>
      </c>
      <c r="CD64" s="59">
        <f ca="1">AVERAGE(OFFSET($CC$3,0,0,'Données projet'!$E$12+1,1))-AVERAGE(OFFSET($H$3,0,0,'Données projet'!$E$12+1,1))</f>
        <v>288.82868507674738</v>
      </c>
      <c r="CE64" s="59">
        <f t="shared" si="40"/>
        <v>283.48738729114024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1.3275192699754605</v>
      </c>
      <c r="CM64" s="21">
        <f>EXP(-LN(2)/2)*CM63+(1-EXP(-LN(2)/2))/(LN(2)/2)*CG64*CJ64*VLOOKUP('Données projet'!$B$12,Paramètres!$A$1:$I$89,3,0)*0.475*44/12</f>
        <v>7.0566258039530188E-5</v>
      </c>
      <c r="CN64" s="22">
        <f t="shared" si="12"/>
        <v>1.3275898362335001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1.7053025658242404E-13</v>
      </c>
      <c r="O65" s="13">
        <f>N65*VLOOKUP('Données projet'!$B$9,Paramètres!$A$1:$I$89,3,0)*VLOOKUP('Données projet'!$B$9,Paramètres!$A$1:$I$89,5,0)</f>
        <v>1.250327841262333E-13</v>
      </c>
      <c r="P65" s="13">
        <f t="shared" si="33"/>
        <v>1.8301318724634299E-12</v>
      </c>
      <c r="Q65" s="20">
        <f t="shared" si="53"/>
        <v>3.405245110226996E-12</v>
      </c>
      <c r="R65" s="59">
        <f t="shared" si="0"/>
        <v>293.33333333333672</v>
      </c>
      <c r="S65" s="59">
        <f ca="1">AVERAGE(OFFSET($R$3,0,0,'Données projet'!$E$9+1,1))-AVERAGE(OFFSET($H$3,0,0,'Données projet'!$E$9+1,1))</f>
        <v>193.60868637458515</v>
      </c>
      <c r="T65" s="59">
        <f t="shared" si="34"/>
        <v>272.97841038165217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-1.7053025658242404E-13</v>
      </c>
      <c r="AJ65" s="13">
        <f>AI65*VLOOKUP('Données projet'!$B$10,Paramètres!$A$1:$I$89,3,0)*VLOOKUP('Données projet'!$B$10,Paramètres!$A$1:$I$89,5,0)</f>
        <v>-1.3567387213697657E-13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238.56893947183841</v>
      </c>
      <c r="AO65" s="59">
        <f t="shared" si="36"/>
        <v>292.57799203101769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207.39999999999995</v>
      </c>
      <c r="BE65" s="13">
        <f>BD65*VLOOKUP('Données projet'!$B$11,Paramètres!$A$1:$I$89,3,0)*VLOOKUP('Données projet'!$B$11,Paramètres!$A$1:$I$89,5,0)</f>
        <v>187.65551999999994</v>
      </c>
      <c r="BF65" s="13">
        <f t="shared" si="37"/>
        <v>47.021247649900147</v>
      </c>
      <c r="BG65" s="20">
        <f t="shared" si="7"/>
        <v>408.72870365690932</v>
      </c>
      <c r="BH65" s="59">
        <f t="shared" si="8"/>
        <v>702.06203699024263</v>
      </c>
      <c r="BI65" s="59">
        <f ca="1">AVERAGE(OFFSET($BH$3,0,0,'Données projet'!$E$11+1,1))-AVERAGE(OFFSET($H$3,0,0,'Données projet'!$E$11+1,1))</f>
        <v>277.20405719540543</v>
      </c>
      <c r="BJ65" s="59">
        <f t="shared" si="38"/>
        <v>231.36959598460686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8.6666666666666661</v>
      </c>
      <c r="BY65" s="12">
        <f>IF('Données projet'!$A$114&gt;35,BY64+BX65-CG64,IF(A65&lt;'Données projet'!$A$114,$BV$205^A65,IF(A65='Données projet'!$A$114,'Données projet'!$B$114,BY64+BX65-CG64)))</f>
        <v>267.33333333333326</v>
      </c>
      <c r="BZ65" s="13">
        <f>BY65*VLOOKUP('Données projet'!$B$12,Paramètres!$A$1:$I$89,3,0)*VLOOKUP('Données projet'!$B$12,Paramètres!$A$1:$I$89,5,0)</f>
        <v>208.51999999999995</v>
      </c>
      <c r="CA65" s="13">
        <f t="shared" si="39"/>
        <v>51.612035456318459</v>
      </c>
      <c r="CB65" s="20">
        <f t="shared" si="10"/>
        <v>453.06329508642119</v>
      </c>
      <c r="CC65" s="59">
        <f t="shared" si="11"/>
        <v>746.39662841975451</v>
      </c>
      <c r="CD65" s="59">
        <f ca="1">AVERAGE(OFFSET($CC$3,0,0,'Données projet'!$E$12+1,1))-AVERAGE(OFFSET($H$3,0,0,'Données projet'!$E$12+1,1))</f>
        <v>288.82868507674738</v>
      </c>
      <c r="CE65" s="59">
        <f t="shared" si="40"/>
        <v>283.48738729114024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1.2912181857267773</v>
      </c>
      <c r="CM65" s="21">
        <f>EXP(-LN(2)/2)*CM64+(1-EXP(-LN(2)/2))/(LN(2)/2)*CG65*CJ65*VLOOKUP('Données projet'!$B$12,Paramètres!$A$1:$I$89,3,0)*0.475*44/12</f>
        <v>4.9897879582711523E-5</v>
      </c>
      <c r="CN65" s="22">
        <f t="shared" si="12"/>
        <v>1.2912680836063599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1.7053025658242404E-13</v>
      </c>
      <c r="O66" s="13">
        <f>N66*VLOOKUP('Données projet'!$B$9,Paramètres!$A$1:$I$89,3,0)*VLOOKUP('Données projet'!$B$9,Paramètres!$A$1:$I$89,5,0)</f>
        <v>1.250327841262333E-13</v>
      </c>
      <c r="P66" s="13">
        <f t="shared" si="33"/>
        <v>1.8301318724634299E-12</v>
      </c>
      <c r="Q66" s="20">
        <f t="shared" si="53"/>
        <v>3.405245110226996E-12</v>
      </c>
      <c r="R66" s="59">
        <f t="shared" si="0"/>
        <v>293.33333333333672</v>
      </c>
      <c r="S66" s="59">
        <f ca="1">AVERAGE(OFFSET($R$3,0,0,'Données projet'!$E$9+1,1))-AVERAGE(OFFSET($H$3,0,0,'Données projet'!$E$9+1,1))</f>
        <v>193.60868637458515</v>
      </c>
      <c r="T66" s="59">
        <f t="shared" si="34"/>
        <v>272.97841038165217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-1.7053025658242404E-13</v>
      </c>
      <c r="AJ66" s="13">
        <f>AI66*VLOOKUP('Données projet'!$B$10,Paramètres!$A$1:$I$89,3,0)*VLOOKUP('Données projet'!$B$10,Paramètres!$A$1:$I$89,5,0)</f>
        <v>-1.3567387213697657E-13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238.56893947183841</v>
      </c>
      <c r="AO66" s="59">
        <f t="shared" si="36"/>
        <v>292.57799203101769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214.59999999999994</v>
      </c>
      <c r="BE66" s="13">
        <f>BD66*VLOOKUP('Données projet'!$B$11,Paramètres!$A$1:$I$89,3,0)*VLOOKUP('Données projet'!$B$11,Paramètres!$A$1:$I$89,5,0)</f>
        <v>194.17007999999996</v>
      </c>
      <c r="BF66" s="13">
        <f t="shared" si="37"/>
        <v>48.460730182351035</v>
      </c>
      <c r="BG66" s="20">
        <f t="shared" si="7"/>
        <v>422.5819944009279</v>
      </c>
      <c r="BH66" s="59">
        <f t="shared" si="8"/>
        <v>715.91532773426115</v>
      </c>
      <c r="BI66" s="59">
        <f ca="1">AVERAGE(OFFSET($BH$3,0,0,'Données projet'!$E$11+1,1))-AVERAGE(OFFSET($H$3,0,0,'Données projet'!$E$11+1,1))</f>
        <v>277.20405719540543</v>
      </c>
      <c r="BJ66" s="59">
        <f t="shared" si="38"/>
        <v>231.36959598460686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8.6666666666666661</v>
      </c>
      <c r="BY66" s="12">
        <f>IF('Données projet'!$A$114&gt;35,BY65+BX66-CG65,IF(A66&lt;'Données projet'!$A$114,$BV$205^A66,IF(A66='Données projet'!$A$114,'Données projet'!$B$114,BY65+BX66-CG65)))</f>
        <v>275.99999999999994</v>
      </c>
      <c r="BZ66" s="13">
        <f>BY66*VLOOKUP('Données projet'!$B$12,Paramètres!$A$1:$I$89,3,0)*VLOOKUP('Données projet'!$B$12,Paramètres!$A$1:$I$89,5,0)</f>
        <v>215.27999999999997</v>
      </c>
      <c r="CA66" s="13">
        <f t="shared" si="39"/>
        <v>53.087725740853138</v>
      </c>
      <c r="CB66" s="20">
        <f t="shared" si="10"/>
        <v>467.40712233198587</v>
      </c>
      <c r="CC66" s="59">
        <f t="shared" si="11"/>
        <v>760.74045566531913</v>
      </c>
      <c r="CD66" s="59">
        <f ca="1">AVERAGE(OFFSET($CC$3,0,0,'Données projet'!$E$12+1,1))-AVERAGE(OFFSET($H$3,0,0,'Données projet'!$E$12+1,1))</f>
        <v>288.82868507674738</v>
      </c>
      <c r="CE66" s="59">
        <f t="shared" si="40"/>
        <v>283.48738729114024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1.2559097565358652</v>
      </c>
      <c r="CM66" s="21">
        <f>EXP(-LN(2)/2)*CM65+(1-EXP(-LN(2)/2))/(LN(2)/2)*CG66*CJ66*VLOOKUP('Données projet'!$B$12,Paramètres!$A$1:$I$89,3,0)*0.475*44/12</f>
        <v>3.5283129019765094E-5</v>
      </c>
      <c r="CN66" s="22">
        <f t="shared" si="12"/>
        <v>1.255945039664885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1.7053025658242404E-13</v>
      </c>
      <c r="O67" s="13">
        <f>N67*VLOOKUP('Données projet'!$B$9,Paramètres!$A$1:$I$89,3,0)*VLOOKUP('Données projet'!$B$9,Paramètres!$A$1:$I$89,5,0)</f>
        <v>1.250327841262333E-13</v>
      </c>
      <c r="P67" s="13">
        <f t="shared" si="33"/>
        <v>1.8301318724634299E-12</v>
      </c>
      <c r="Q67" s="20">
        <f t="shared" ref="Q67:Q98" si="54">(O67+P67)*0.475*44/12</f>
        <v>3.405245110226996E-12</v>
      </c>
      <c r="R67" s="59">
        <f t="shared" ref="R67:R130" si="55">Q67+(I67+J67)*44/12</f>
        <v>293.33333333333672</v>
      </c>
      <c r="S67" s="59">
        <f ca="1">AVERAGE(OFFSET($R$3,0,0,'Données projet'!$E$9+1,1))-AVERAGE(OFFSET($H$3,0,0,'Données projet'!$E$9+1,1))</f>
        <v>193.60868637458515</v>
      </c>
      <c r="T67" s="59">
        <f t="shared" si="34"/>
        <v>272.97841038165217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-1.7053025658242404E-13</v>
      </c>
      <c r="AJ67" s="13">
        <f>AI67*VLOOKUP('Données projet'!$B$10,Paramètres!$A$1:$I$89,3,0)*VLOOKUP('Données projet'!$B$10,Paramètres!$A$1:$I$89,5,0)</f>
        <v>-1.3567387213697657E-13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238.56893947183841</v>
      </c>
      <c r="AO67" s="59">
        <f t="shared" si="36"/>
        <v>292.57799203101769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221.79999999999993</v>
      </c>
      <c r="BE67" s="13">
        <f>BD67*VLOOKUP('Données projet'!$B$11,Paramètres!$A$1:$I$89,3,0)*VLOOKUP('Données projet'!$B$11,Paramètres!$A$1:$I$89,5,0)</f>
        <v>200.68463999999992</v>
      </c>
      <c r="BF67" s="13">
        <f t="shared" si="37"/>
        <v>49.894600936700193</v>
      </c>
      <c r="BG67" s="20">
        <f t="shared" si="7"/>
        <v>436.42551129808606</v>
      </c>
      <c r="BH67" s="59">
        <f t="shared" si="8"/>
        <v>729.75884463141938</v>
      </c>
      <c r="BI67" s="59">
        <f ca="1">AVERAGE(OFFSET($BH$3,0,0,'Données projet'!$E$11+1,1))-AVERAGE(OFFSET($H$3,0,0,'Données projet'!$E$11+1,1))</f>
        <v>277.20405719540543</v>
      </c>
      <c r="BJ67" s="59">
        <f t="shared" si="38"/>
        <v>231.36959598460686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8.6666666666666661</v>
      </c>
      <c r="BY67" s="12">
        <f>IF('Données projet'!$A$114&gt;35,BY66+BX67-CG66,IF(A67&lt;'Données projet'!$A$114,$BV$205^A67,IF(A67='Données projet'!$A$114,'Données projet'!$B$114,BY66+BX67-CG66)))</f>
        <v>284.66666666666663</v>
      </c>
      <c r="BZ67" s="13">
        <f>BY67*VLOOKUP('Données projet'!$B$12,Paramètres!$A$1:$I$89,3,0)*VLOOKUP('Données projet'!$B$12,Paramètres!$A$1:$I$89,5,0)</f>
        <v>222.04</v>
      </c>
      <c r="CA67" s="13">
        <f t="shared" si="39"/>
        <v>54.558031180803546</v>
      </c>
      <c r="CB67" s="20">
        <f t="shared" si="10"/>
        <v>481.74157097323285</v>
      </c>
      <c r="CC67" s="59">
        <f t="shared" si="11"/>
        <v>775.07490430656617</v>
      </c>
      <c r="CD67" s="59">
        <f ca="1">AVERAGE(OFFSET($CC$3,0,0,'Données projet'!$E$12+1,1))-AVERAGE(OFFSET($H$3,0,0,'Données projet'!$E$12+1,1))</f>
        <v>288.82868507674738</v>
      </c>
      <c r="CE67" s="59">
        <f t="shared" si="40"/>
        <v>283.48738729114024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1.2215668381979683</v>
      </c>
      <c r="CM67" s="21">
        <f>EXP(-LN(2)/2)*CM66+(1-EXP(-LN(2)/2))/(LN(2)/2)*CG67*CJ67*VLOOKUP('Données projet'!$B$12,Paramètres!$A$1:$I$89,3,0)*0.475*44/12</f>
        <v>2.4948939791355762E-5</v>
      </c>
      <c r="CN67" s="22">
        <f t="shared" si="12"/>
        <v>1.2215917871377597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1.7053025658242404E-13</v>
      </c>
      <c r="O68" s="13">
        <f>N68*VLOOKUP('Données projet'!$B$9,Paramètres!$A$1:$I$89,3,0)*VLOOKUP('Données projet'!$B$9,Paramètres!$A$1:$I$89,5,0)</f>
        <v>1.250327841262333E-13</v>
      </c>
      <c r="P68" s="13">
        <f t="shared" si="33"/>
        <v>1.8301318724634299E-12</v>
      </c>
      <c r="Q68" s="20">
        <f t="shared" si="54"/>
        <v>3.405245110226996E-12</v>
      </c>
      <c r="R68" s="59">
        <f t="shared" si="55"/>
        <v>293.33333333333672</v>
      </c>
      <c r="S68" s="59">
        <f ca="1">AVERAGE(OFFSET($R$3,0,0,'Données projet'!$E$9+1,1))-AVERAGE(OFFSET($H$3,0,0,'Données projet'!$E$9+1,1))</f>
        <v>193.60868637458515</v>
      </c>
      <c r="T68" s="59">
        <f t="shared" si="34"/>
        <v>272.97841038165217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-1.7053025658242404E-13</v>
      </c>
      <c r="AJ68" s="13">
        <f>AI68*VLOOKUP('Données projet'!$B$10,Paramètres!$A$1:$I$89,3,0)*VLOOKUP('Données projet'!$B$10,Paramètres!$A$1:$I$89,5,0)</f>
        <v>-1.3567387213697657E-13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238.56893947183841</v>
      </c>
      <c r="AO68" s="59">
        <f t="shared" si="36"/>
        <v>292.57799203101769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229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228.99999999999991</v>
      </c>
      <c r="BE68" s="13">
        <f>BD68*VLOOKUP('Données projet'!$B$11,Paramètres!$A$1:$I$89,3,0)*VLOOKUP('Données projet'!$B$11,Paramètres!$A$1:$I$89,5,0)</f>
        <v>207.19919999999991</v>
      </c>
      <c r="BF68" s="13">
        <f t="shared" si="37"/>
        <v>51.3230629736655</v>
      </c>
      <c r="BG68" s="20">
        <f t="shared" ref="BG68:BG131" si="61">(BE68+BF68)*0.475*44/12</f>
        <v>450.25960801246725</v>
      </c>
      <c r="BH68" s="59">
        <f t="shared" ref="BH68:BH131" si="62">BG68+(AY68+AZ68)*44/12</f>
        <v>743.59294134580057</v>
      </c>
      <c r="BI68" s="59">
        <f ca="1">AVERAGE(OFFSET($BH$3,0,0,'Données projet'!$E$11+1,1))-AVERAGE(OFFSET($H$3,0,0,'Données projet'!$E$11+1,1))</f>
        <v>277.20405719540543</v>
      </c>
      <c r="BJ68" s="59">
        <f t="shared" si="38"/>
        <v>231.36959598460686</v>
      </c>
      <c r="BK68" s="15">
        <f>IF(ISNA(VLOOKUP(A68,'Données projet'!$A$87:$I$107,3,0)),0,VLOOKUP(A68,'Données projet'!$A$87:$I$107,3,0))</f>
        <v>10</v>
      </c>
      <c r="BL68" s="15">
        <f>IF(ISNA(VLOOKUP(A68,'Données projet'!$A$87:$I$107,4,0)),0,VLOOKUP(A68,'Données projet'!$A$87:$I$107,4,0))</f>
        <v>21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8.6666666666666661</v>
      </c>
      <c r="BY68" s="12">
        <f>IF('Données projet'!$A$114&gt;35,BY67+BX68-CG67,IF(A68&lt;'Données projet'!$A$114,$BV$205^A68,IF(A68='Données projet'!$A$114,'Données projet'!$B$114,BY67+BX68-CG67)))</f>
        <v>293.33333333333331</v>
      </c>
      <c r="BZ68" s="13">
        <f>BY68*VLOOKUP('Données projet'!$B$12,Paramètres!$A$1:$I$89,3,0)*VLOOKUP('Données projet'!$B$12,Paramètres!$A$1:$I$89,5,0)</f>
        <v>228.79999999999998</v>
      </c>
      <c r="CA68" s="13">
        <f t="shared" si="39"/>
        <v>56.023134533701196</v>
      </c>
      <c r="CB68" s="20">
        <f t="shared" ref="CB68:CB131" si="64">(BZ68+CA68)*0.475*44/12</f>
        <v>496.06695931286293</v>
      </c>
      <c r="CC68" s="59">
        <f t="shared" ref="CC68:CC131" si="65">CB68+(BT68+BU68)*44/12</f>
        <v>789.40029264619625</v>
      </c>
      <c r="CD68" s="59">
        <f ca="1">AVERAGE(OFFSET($CC$3,0,0,'Données projet'!$E$12+1,1))-AVERAGE(OFFSET($H$3,0,0,'Données projet'!$E$12+1,1))</f>
        <v>288.82868507674738</v>
      </c>
      <c r="CE68" s="59">
        <f t="shared" si="40"/>
        <v>283.48738729114024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1.1881630287680367</v>
      </c>
      <c r="CM68" s="21">
        <f>EXP(-LN(2)/2)*CM67+(1-EXP(-LN(2)/2))/(LN(2)/2)*CG68*CJ68*VLOOKUP('Données projet'!$B$12,Paramètres!$A$1:$I$89,3,0)*0.475*44/12</f>
        <v>1.7641564509882547E-5</v>
      </c>
      <c r="CN68" s="22">
        <f t="shared" ref="CN68:CN131" si="66">SUM(CK68:CM68)</f>
        <v>1.1881806703325466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1.7053025658242404E-13</v>
      </c>
      <c r="O69" s="13">
        <f>N69*VLOOKUP('Données projet'!$B$9,Paramètres!$A$1:$I$89,3,0)*VLOOKUP('Données projet'!$B$9,Paramètres!$A$1:$I$89,5,0)</f>
        <v>1.250327841262333E-13</v>
      </c>
      <c r="P69" s="13">
        <f t="shared" ref="P69:P132" si="87">EXP(-1.0587+0.8836*LN(O69)+0.284)</f>
        <v>1.8301318724634299E-12</v>
      </c>
      <c r="Q69" s="20">
        <f t="shared" si="54"/>
        <v>3.405245110226996E-12</v>
      </c>
      <c r="R69" s="59">
        <f t="shared" si="55"/>
        <v>293.33333333333672</v>
      </c>
      <c r="S69" s="59">
        <f ca="1">AVERAGE(OFFSET($R$3,0,0,'Données projet'!$E$9+1,1))-AVERAGE(OFFSET($H$3,0,0,'Données projet'!$E$9+1,1))</f>
        <v>193.60868637458515</v>
      </c>
      <c r="T69" s="59">
        <f t="shared" ref="T69:T132" si="88">$T$3</f>
        <v>272.97841038165217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-1.7053025658242404E-13</v>
      </c>
      <c r="AJ69" s="13">
        <f>AI69*VLOOKUP('Données projet'!$B$10,Paramètres!$A$1:$I$89,3,0)*VLOOKUP('Données projet'!$B$10,Paramètres!$A$1:$I$89,5,0)</f>
        <v>-1.3567387213697657E-13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238.56893947183841</v>
      </c>
      <c r="AO69" s="59">
        <f t="shared" ref="AO69:AO132" si="90">$AO$3</f>
        <v>292.57799203101769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214.79999999999993</v>
      </c>
      <c r="BE69" s="13">
        <f>BD69*VLOOKUP('Données projet'!$B$11,Paramètres!$A$1:$I$89,3,0)*VLOOKUP('Données projet'!$B$11,Paramètres!$A$1:$I$89,5,0)</f>
        <v>194.35103999999993</v>
      </c>
      <c r="BF69" s="13">
        <f t="shared" ref="BF69:BF132" si="91">EXP(-1.0587+0.8836*LN(BE69)+0.284)</f>
        <v>48.500634729810159</v>
      </c>
      <c r="BG69" s="20">
        <f t="shared" si="61"/>
        <v>422.96666682108594</v>
      </c>
      <c r="BH69" s="59">
        <f t="shared" si="62"/>
        <v>716.30000015441919</v>
      </c>
      <c r="BI69" s="59">
        <f ca="1">AVERAGE(OFFSET($BH$3,0,0,'Données projet'!$E$11+1,1))-AVERAGE(OFFSET($H$3,0,0,'Données projet'!$E$11+1,1))</f>
        <v>277.20405719540543</v>
      </c>
      <c r="BJ69" s="59">
        <f t="shared" ref="BJ69:BJ132" si="92">$BJ$3</f>
        <v>231.36959598460686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8.6666666666666661</v>
      </c>
      <c r="BY69" s="12">
        <f>IF('Données projet'!$A$114&gt;35,BY68+BX69-CG68,IF(A69&lt;'Données projet'!$A$114,$BV$205^A69,IF(A69='Données projet'!$A$114,'Données projet'!$B$114,BY68+BX69-CG68)))</f>
        <v>302</v>
      </c>
      <c r="BZ69" s="13">
        <f>BY69*VLOOKUP('Données projet'!$B$12,Paramètres!$A$1:$I$89,3,0)*VLOOKUP('Données projet'!$B$12,Paramètres!$A$1:$I$89,5,0)</f>
        <v>235.56</v>
      </c>
      <c r="CA69" s="13">
        <f t="shared" ref="CA69:CA132" si="93">EXP(-1.0587+0.8836*LN(BZ69)+0.284)</f>
        <v>57.483207143847721</v>
      </c>
      <c r="CB69" s="20">
        <f t="shared" si="64"/>
        <v>510.38358577553481</v>
      </c>
      <c r="CC69" s="59">
        <f t="shared" si="65"/>
        <v>803.71691910886807</v>
      </c>
      <c r="CD69" s="59">
        <f ca="1">AVERAGE(OFFSET($CC$3,0,0,'Données projet'!$E$12+1,1))-AVERAGE(OFFSET($H$3,0,0,'Données projet'!$E$12+1,1))</f>
        <v>288.82868507674738</v>
      </c>
      <c r="CE69" s="59">
        <f t="shared" ref="CE69:CE132" si="94">$CE$3</f>
        <v>283.48738729114024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1.1556726482635966</v>
      </c>
      <c r="CM69" s="21">
        <f>EXP(-LN(2)/2)*CM68+(1-EXP(-LN(2)/2))/(LN(2)/2)*CG69*CJ69*VLOOKUP('Données projet'!$B$12,Paramètres!$A$1:$I$89,3,0)*0.475*44/12</f>
        <v>1.2474469895677881E-5</v>
      </c>
      <c r="CN69" s="22">
        <f t="shared" si="66"/>
        <v>1.1556851227334923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1.7053025658242404E-13</v>
      </c>
      <c r="O70" s="13">
        <f>N70*VLOOKUP('Données projet'!$B$9,Paramètres!$A$1:$I$89,3,0)*VLOOKUP('Données projet'!$B$9,Paramètres!$A$1:$I$89,5,0)</f>
        <v>1.250327841262333E-13</v>
      </c>
      <c r="P70" s="13">
        <f t="shared" si="87"/>
        <v>1.8301318724634299E-12</v>
      </c>
      <c r="Q70" s="20">
        <f t="shared" si="54"/>
        <v>3.405245110226996E-12</v>
      </c>
      <c r="R70" s="59">
        <f t="shared" si="55"/>
        <v>293.33333333333672</v>
      </c>
      <c r="S70" s="59">
        <f ca="1">AVERAGE(OFFSET($R$3,0,0,'Données projet'!$E$9+1,1))-AVERAGE(OFFSET($H$3,0,0,'Données projet'!$E$9+1,1))</f>
        <v>193.60868637458515</v>
      </c>
      <c r="T70" s="59">
        <f t="shared" si="88"/>
        <v>272.97841038165217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-1.7053025658242404E-13</v>
      </c>
      <c r="AJ70" s="13">
        <f>AI70*VLOOKUP('Données projet'!$B$10,Paramètres!$A$1:$I$89,3,0)*VLOOKUP('Données projet'!$B$10,Paramètres!$A$1:$I$89,5,0)</f>
        <v>-1.3567387213697657E-13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238.56893947183841</v>
      </c>
      <c r="AO70" s="59">
        <f t="shared" si="90"/>
        <v>292.57799203101769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221.59999999999994</v>
      </c>
      <c r="BE70" s="13">
        <f>BD70*VLOOKUP('Données projet'!$B$11,Paramètres!$A$1:$I$89,3,0)*VLOOKUP('Données projet'!$B$11,Paramètres!$A$1:$I$89,5,0)</f>
        <v>200.50367999999995</v>
      </c>
      <c r="BF70" s="13">
        <f t="shared" si="91"/>
        <v>49.854845135229887</v>
      </c>
      <c r="BG70" s="20">
        <f t="shared" si="61"/>
        <v>436.04109794385857</v>
      </c>
      <c r="BH70" s="59">
        <f t="shared" si="62"/>
        <v>729.37443127719189</v>
      </c>
      <c r="BI70" s="59">
        <f ca="1">AVERAGE(OFFSET($BH$3,0,0,'Données projet'!$E$11+1,1))-AVERAGE(OFFSET($H$3,0,0,'Données projet'!$E$11+1,1))</f>
        <v>277.20405719540543</v>
      </c>
      <c r="BJ70" s="59">
        <f t="shared" si="92"/>
        <v>231.36959598460686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8.6666666666666661</v>
      </c>
      <c r="BY70" s="12">
        <f>IF('Données projet'!$A$114&gt;35,BY69+BX70-CG69,IF(A70&lt;'Données projet'!$A$114,$BV$205^A70,IF(A70='Données projet'!$A$114,'Données projet'!$B$114,BY69+BX70-CG69)))</f>
        <v>310.66666666666669</v>
      </c>
      <c r="BZ70" s="13">
        <f>BY70*VLOOKUP('Données projet'!$B$12,Paramètres!$A$1:$I$89,3,0)*VLOOKUP('Données projet'!$B$12,Paramètres!$A$1:$I$89,5,0)</f>
        <v>242.32000000000002</v>
      </c>
      <c r="CA70" s="13">
        <f t="shared" si="93"/>
        <v>58.938409961900859</v>
      </c>
      <c r="CB70" s="20">
        <f t="shared" si="64"/>
        <v>524.69173068364398</v>
      </c>
      <c r="CC70" s="59">
        <f t="shared" si="65"/>
        <v>818.02506401697724</v>
      </c>
      <c r="CD70" s="59">
        <f ca="1">AVERAGE(OFFSET($CC$3,0,0,'Données projet'!$E$12+1,1))-AVERAGE(OFFSET($H$3,0,0,'Données projet'!$E$12+1,1))</f>
        <v>288.82868507674738</v>
      </c>
      <c r="CE70" s="59">
        <f t="shared" si="94"/>
        <v>283.48738729114024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1.1240707189226453</v>
      </c>
      <c r="CM70" s="21">
        <f>EXP(-LN(2)/2)*CM69+(1-EXP(-LN(2)/2))/(LN(2)/2)*CG70*CJ70*VLOOKUP('Données projet'!$B$12,Paramètres!$A$1:$I$89,3,0)*0.475*44/12</f>
        <v>8.8207822549412735E-6</v>
      </c>
      <c r="CN70" s="22">
        <f t="shared" si="66"/>
        <v>1.1240795397049002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1.7053025658242404E-13</v>
      </c>
      <c r="O71" s="13">
        <f>N71*VLOOKUP('Données projet'!$B$9,Paramètres!$A$1:$I$89,3,0)*VLOOKUP('Données projet'!$B$9,Paramètres!$A$1:$I$89,5,0)</f>
        <v>1.250327841262333E-13</v>
      </c>
      <c r="P71" s="13">
        <f t="shared" si="87"/>
        <v>1.8301318724634299E-12</v>
      </c>
      <c r="Q71" s="20">
        <f t="shared" si="54"/>
        <v>3.405245110226996E-12</v>
      </c>
      <c r="R71" s="59">
        <f t="shared" si="55"/>
        <v>293.33333333333672</v>
      </c>
      <c r="S71" s="59">
        <f ca="1">AVERAGE(OFFSET($R$3,0,0,'Données projet'!$E$9+1,1))-AVERAGE(OFFSET($H$3,0,0,'Données projet'!$E$9+1,1))</f>
        <v>193.60868637458515</v>
      </c>
      <c r="T71" s="59">
        <f t="shared" si="88"/>
        <v>272.97841038165217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-1.7053025658242404E-13</v>
      </c>
      <c r="AJ71" s="13">
        <f>AI71*VLOOKUP('Données projet'!$B$10,Paramètres!$A$1:$I$89,3,0)*VLOOKUP('Données projet'!$B$10,Paramètres!$A$1:$I$89,5,0)</f>
        <v>-1.3567387213697657E-13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238.56893947183841</v>
      </c>
      <c r="AO71" s="59">
        <f t="shared" si="90"/>
        <v>292.57799203101769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228.39999999999995</v>
      </c>
      <c r="BE71" s="13">
        <f>BD71*VLOOKUP('Données projet'!$B$11,Paramètres!$A$1:$I$89,3,0)*VLOOKUP('Données projet'!$B$11,Paramètres!$A$1:$I$89,5,0)</f>
        <v>206.65631999999994</v>
      </c>
      <c r="BF71" s="13">
        <f t="shared" si="91"/>
        <v>51.20422634371338</v>
      </c>
      <c r="BG71" s="20">
        <f t="shared" si="61"/>
        <v>449.10711821530072</v>
      </c>
      <c r="BH71" s="59">
        <f t="shared" si="62"/>
        <v>742.44045154863397</v>
      </c>
      <c r="BI71" s="59">
        <f ca="1">AVERAGE(OFFSET($BH$3,0,0,'Données projet'!$E$11+1,1))-AVERAGE(OFFSET($H$3,0,0,'Données projet'!$E$11+1,1))</f>
        <v>277.20405719540543</v>
      </c>
      <c r="BJ71" s="59">
        <f t="shared" si="92"/>
        <v>231.36959598460686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8.6666666666666661</v>
      </c>
      <c r="BY71" s="12">
        <f>IF('Données projet'!$A$114&gt;35,BY70+BX71-CG70,IF(A71&lt;'Données projet'!$A$114,$BV$205^A71,IF(A71='Données projet'!$A$114,'Données projet'!$B$114,BY70+BX71-CG70)))</f>
        <v>319.33333333333337</v>
      </c>
      <c r="BZ71" s="13">
        <f>BY71*VLOOKUP('Données projet'!$B$12,Paramètres!$A$1:$I$89,3,0)*VLOOKUP('Données projet'!$B$12,Paramètres!$A$1:$I$89,5,0)</f>
        <v>249.08000000000004</v>
      </c>
      <c r="CA71" s="13">
        <f t="shared" si="93"/>
        <v>60.388894447487807</v>
      </c>
      <c r="CB71" s="20">
        <f t="shared" si="64"/>
        <v>538.99165782937473</v>
      </c>
      <c r="CC71" s="59">
        <f t="shared" si="65"/>
        <v>832.3249911627081</v>
      </c>
      <c r="CD71" s="59">
        <f ca="1">AVERAGE(OFFSET($CC$3,0,0,'Données projet'!$E$12+1,1))-AVERAGE(OFFSET($H$3,0,0,'Données projet'!$E$12+1,1))</f>
        <v>288.82868507674738</v>
      </c>
      <c r="CE71" s="59">
        <f t="shared" si="94"/>
        <v>283.48738729114024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1.0933329460013956</v>
      </c>
      <c r="CM71" s="21">
        <f>EXP(-LN(2)/2)*CM70+(1-EXP(-LN(2)/2))/(LN(2)/2)*CG71*CJ71*VLOOKUP('Données projet'!$B$12,Paramètres!$A$1:$I$89,3,0)*0.475*44/12</f>
        <v>6.2372349478389404E-6</v>
      </c>
      <c r="CN71" s="22">
        <f t="shared" si="66"/>
        <v>1.0933391832363435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1.7053025658242404E-13</v>
      </c>
      <c r="O72" s="13">
        <f>N72*VLOOKUP('Données projet'!$B$9,Paramètres!$A$1:$I$89,3,0)*VLOOKUP('Données projet'!$B$9,Paramètres!$A$1:$I$89,5,0)</f>
        <v>1.250327841262333E-13</v>
      </c>
      <c r="P72" s="13">
        <f t="shared" si="87"/>
        <v>1.8301318724634299E-12</v>
      </c>
      <c r="Q72" s="20">
        <f t="shared" si="54"/>
        <v>3.405245110226996E-12</v>
      </c>
      <c r="R72" s="59">
        <f t="shared" si="55"/>
        <v>293.33333333333672</v>
      </c>
      <c r="S72" s="59">
        <f ca="1">AVERAGE(OFFSET($R$3,0,0,'Données projet'!$E$9+1,1))-AVERAGE(OFFSET($H$3,0,0,'Données projet'!$E$9+1,1))</f>
        <v>193.60868637458515</v>
      </c>
      <c r="T72" s="59">
        <f t="shared" si="88"/>
        <v>272.97841038165217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-1.7053025658242404E-13</v>
      </c>
      <c r="AJ72" s="13">
        <f>AI72*VLOOKUP('Données projet'!$B$10,Paramètres!$A$1:$I$89,3,0)*VLOOKUP('Données projet'!$B$10,Paramètres!$A$1:$I$89,5,0)</f>
        <v>-1.3567387213697657E-13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238.56893947183841</v>
      </c>
      <c r="AO72" s="59">
        <f t="shared" si="90"/>
        <v>292.57799203101769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235.19999999999996</v>
      </c>
      <c r="BE72" s="13">
        <f>BD72*VLOOKUP('Données projet'!$B$11,Paramètres!$A$1:$I$89,3,0)*VLOOKUP('Données projet'!$B$11,Paramètres!$A$1:$I$89,5,0)</f>
        <v>212.80895999999996</v>
      </c>
      <c r="BF72" s="13">
        <f t="shared" si="91"/>
        <v>52.548938637485847</v>
      </c>
      <c r="BG72" s="20">
        <f t="shared" si="61"/>
        <v>462.16500679362099</v>
      </c>
      <c r="BH72" s="59">
        <f t="shared" si="62"/>
        <v>755.4983401269543</v>
      </c>
      <c r="BI72" s="59">
        <f ca="1">AVERAGE(OFFSET($BH$3,0,0,'Données projet'!$E$11+1,1))-AVERAGE(OFFSET($H$3,0,0,'Données projet'!$E$11+1,1))</f>
        <v>277.20405719540543</v>
      </c>
      <c r="BJ72" s="59">
        <f t="shared" si="92"/>
        <v>231.36959598460686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328</v>
      </c>
      <c r="BW72" s="12">
        <f>VLOOKUP(A72,'Données projet'!$A$113:$I$133,9,0)</f>
        <v>8.6666666666666661</v>
      </c>
      <c r="BX72" s="12">
        <f t="array" ref="BX72">INDEX(BW:BW,MIN(IF(ISNUMBER(BW72:BW268),ROW(BW72:BW268),"")))</f>
        <v>8.6666666666666661</v>
      </c>
      <c r="BY72" s="12">
        <f>IF('Données projet'!$A$114&gt;35,BY71+BX72-CG71,IF(A72&lt;'Données projet'!$A$114,$BV$205^A72,IF(A72='Données projet'!$A$114,'Données projet'!$B$114,BY71+BX72-CG71)))</f>
        <v>328.00000000000006</v>
      </c>
      <c r="BZ72" s="13">
        <f>BY72*VLOOKUP('Données projet'!$B$12,Paramètres!$A$1:$I$89,3,0)*VLOOKUP('Données projet'!$B$12,Paramètres!$A$1:$I$89,5,0)</f>
        <v>255.84000000000006</v>
      </c>
      <c r="CA72" s="13">
        <f t="shared" si="93"/>
        <v>61.834803371075836</v>
      </c>
      <c r="CB72" s="20">
        <f t="shared" si="64"/>
        <v>553.28361587129041</v>
      </c>
      <c r="CC72" s="59">
        <f t="shared" si="65"/>
        <v>846.61694920462378</v>
      </c>
      <c r="CD72" s="59">
        <f ca="1">AVERAGE(OFFSET($CC$3,0,0,'Données projet'!$E$12+1,1))-AVERAGE(OFFSET($H$3,0,0,'Données projet'!$E$12+1,1))</f>
        <v>288.82868507674738</v>
      </c>
      <c r="CE72" s="59">
        <f t="shared" si="94"/>
        <v>283.48738729114024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328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1.0634356990971068</v>
      </c>
      <c r="CM72" s="21">
        <f>EXP(-LN(2)/2)*CM71+(1-EXP(-LN(2)/2))/(LN(2)/2)*CG72*CJ72*VLOOKUP('Données projet'!$B$12,Paramètres!$A$1:$I$89,3,0)*0.475*44/12</f>
        <v>4.4103911274706368E-6</v>
      </c>
      <c r="CN72" s="22">
        <f t="shared" si="66"/>
        <v>1.0634401094882342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1.7053025658242404E-13</v>
      </c>
      <c r="O73" s="13">
        <f>N73*VLOOKUP('Données projet'!$B$9,Paramètres!$A$1:$I$89,3,0)*VLOOKUP('Données projet'!$B$9,Paramètres!$A$1:$I$89,5,0)</f>
        <v>1.250327841262333E-13</v>
      </c>
      <c r="P73" s="13">
        <f t="shared" si="87"/>
        <v>1.8301318724634299E-12</v>
      </c>
      <c r="Q73" s="20">
        <f t="shared" si="54"/>
        <v>3.405245110226996E-12</v>
      </c>
      <c r="R73" s="59">
        <f t="shared" si="55"/>
        <v>293.33333333333672</v>
      </c>
      <c r="S73" s="59">
        <f ca="1">AVERAGE(OFFSET($R$3,0,0,'Données projet'!$E$9+1,1))-AVERAGE(OFFSET($H$3,0,0,'Données projet'!$E$9+1,1))</f>
        <v>193.60868637458515</v>
      </c>
      <c r="T73" s="59">
        <f t="shared" si="88"/>
        <v>272.97841038165217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-1.7053025658242404E-13</v>
      </c>
      <c r="AJ73" s="13">
        <f>AI73*VLOOKUP('Données projet'!$B$10,Paramètres!$A$1:$I$89,3,0)*VLOOKUP('Données projet'!$B$10,Paramètres!$A$1:$I$89,5,0)</f>
        <v>-1.3567387213697657E-13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238.56893947183841</v>
      </c>
      <c r="AO73" s="59">
        <f t="shared" si="90"/>
        <v>292.57799203101769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241.99999999999997</v>
      </c>
      <c r="BE73" s="13">
        <f>BD73*VLOOKUP('Données projet'!$B$11,Paramètres!$A$1:$I$89,3,0)*VLOOKUP('Données projet'!$B$11,Paramètres!$A$1:$I$89,5,0)</f>
        <v>218.96159999999998</v>
      </c>
      <c r="BF73" s="13">
        <f t="shared" si="91"/>
        <v>53.88913250370743</v>
      </c>
      <c r="BG73" s="20">
        <f t="shared" si="61"/>
        <v>475.21502577729035</v>
      </c>
      <c r="BH73" s="59">
        <f t="shared" si="62"/>
        <v>768.54835911062366</v>
      </c>
      <c r="BI73" s="59">
        <f ca="1">AVERAGE(OFFSET($BH$3,0,0,'Données projet'!$E$11+1,1))-AVERAGE(OFFSET($H$3,0,0,'Données projet'!$E$11+1,1))</f>
        <v>277.20405719540543</v>
      </c>
      <c r="BJ73" s="59">
        <f t="shared" si="92"/>
        <v>231.36959598460686</v>
      </c>
      <c r="BK73" s="15">
        <f>IF(ISNA(VLOOKUP(A73,'Données projet'!$A$87:$I$107,3,0)),0,VLOOKUP(A73,'Données projet'!$A$87:$I$107,3,0))</f>
        <v>11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5.6843418860808015E-14</v>
      </c>
      <c r="BZ73" s="13">
        <f>BY73*VLOOKUP('Données projet'!$B$12,Paramètres!$A$1:$I$89,3,0)*VLOOKUP('Données projet'!$B$12,Paramètres!$A$1:$I$89,5,0)</f>
        <v>4.4337866711430253E-14</v>
      </c>
      <c r="CA73" s="13">
        <f t="shared" si="93"/>
        <v>7.3222115536967035E-13</v>
      </c>
      <c r="CB73" s="20">
        <f t="shared" si="64"/>
        <v>1.3525069634579169E-12</v>
      </c>
      <c r="CC73" s="59">
        <f t="shared" si="65"/>
        <v>293.33333333333468</v>
      </c>
      <c r="CD73" s="59">
        <f ca="1">AVERAGE(OFFSET($CC$3,0,0,'Données projet'!$E$12+1,1))-AVERAGE(OFFSET($H$3,0,0,'Données projet'!$E$12+1,1))</f>
        <v>288.82868507674738</v>
      </c>
      <c r="CE73" s="59">
        <f t="shared" si="94"/>
        <v>283.48738729114024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1.0343559939816436</v>
      </c>
      <c r="CM73" s="21">
        <f>EXP(-LN(2)/2)*CM72+(1-EXP(-LN(2)/2))/(LN(2)/2)*CG73*CJ73*VLOOKUP('Données projet'!$B$12,Paramètres!$A$1:$I$89,3,0)*0.475*44/12</f>
        <v>3.1186174739194702E-6</v>
      </c>
      <c r="CN73" s="22">
        <f t="shared" si="66"/>
        <v>1.0343591125991174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1.7053025658242404E-13</v>
      </c>
      <c r="O74" s="13">
        <f>N74*VLOOKUP('Données projet'!$B$9,Paramètres!$A$1:$I$89,3,0)*VLOOKUP('Données projet'!$B$9,Paramètres!$A$1:$I$89,5,0)</f>
        <v>1.250327841262333E-13</v>
      </c>
      <c r="P74" s="13">
        <f t="shared" si="87"/>
        <v>1.8301318724634299E-12</v>
      </c>
      <c r="Q74" s="20">
        <f t="shared" si="54"/>
        <v>3.405245110226996E-12</v>
      </c>
      <c r="R74" s="59">
        <f t="shared" si="55"/>
        <v>293.33333333333672</v>
      </c>
      <c r="S74" s="59">
        <f ca="1">AVERAGE(OFFSET($R$3,0,0,'Données projet'!$E$9+1,1))-AVERAGE(OFFSET($H$3,0,0,'Données projet'!$E$9+1,1))</f>
        <v>193.60868637458515</v>
      </c>
      <c r="T74" s="59">
        <f t="shared" si="88"/>
        <v>272.97841038165217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-1.7053025658242404E-13</v>
      </c>
      <c r="AJ74" s="13">
        <f>AI74*VLOOKUP('Données projet'!$B$10,Paramètres!$A$1:$I$89,3,0)*VLOOKUP('Données projet'!$B$10,Paramètres!$A$1:$I$89,5,0)</f>
        <v>-1.3567387213697657E-13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238.56893947183841</v>
      </c>
      <c r="AO74" s="59">
        <f t="shared" si="90"/>
        <v>292.57799203101769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227.19999999999996</v>
      </c>
      <c r="BE74" s="13">
        <f>BD74*VLOOKUP('Données projet'!$B$11,Paramètres!$A$1:$I$89,3,0)*VLOOKUP('Données projet'!$B$11,Paramètres!$A$1:$I$89,5,0)</f>
        <v>205.57055999999997</v>
      </c>
      <c r="BF74" s="13">
        <f t="shared" si="91"/>
        <v>50.966443946767392</v>
      </c>
      <c r="BG74" s="20">
        <f t="shared" si="61"/>
        <v>446.80194854061978</v>
      </c>
      <c r="BH74" s="59">
        <f t="shared" si="62"/>
        <v>740.13528187395309</v>
      </c>
      <c r="BI74" s="59">
        <f ca="1">AVERAGE(OFFSET($BH$3,0,0,'Données projet'!$E$11+1,1))-AVERAGE(OFFSET($H$3,0,0,'Données projet'!$E$11+1,1))</f>
        <v>277.20405719540543</v>
      </c>
      <c r="BJ74" s="59">
        <f t="shared" si="92"/>
        <v>231.36959598460686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5.6843418860808015E-14</v>
      </c>
      <c r="BZ74" s="13">
        <f>BY74*VLOOKUP('Données projet'!$B$12,Paramètres!$A$1:$I$89,3,0)*VLOOKUP('Données projet'!$B$12,Paramètres!$A$1:$I$89,5,0)</f>
        <v>4.4337866711430253E-14</v>
      </c>
      <c r="CA74" s="13">
        <f t="shared" si="93"/>
        <v>7.3222115536967035E-13</v>
      </c>
      <c r="CB74" s="20">
        <f t="shared" si="64"/>
        <v>1.3525069634579169E-12</v>
      </c>
      <c r="CC74" s="59">
        <f t="shared" si="65"/>
        <v>293.33333333333468</v>
      </c>
      <c r="CD74" s="59">
        <f ca="1">AVERAGE(OFFSET($CC$3,0,0,'Données projet'!$E$12+1,1))-AVERAGE(OFFSET($H$3,0,0,'Données projet'!$E$12+1,1))</f>
        <v>288.82868507674738</v>
      </c>
      <c r="CE74" s="59">
        <f t="shared" si="94"/>
        <v>283.48738729114024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1.0060714749317978</v>
      </c>
      <c r="CM74" s="21">
        <f>EXP(-LN(2)/2)*CM73+(1-EXP(-LN(2)/2))/(LN(2)/2)*CG74*CJ74*VLOOKUP('Données projet'!$B$12,Paramètres!$A$1:$I$89,3,0)*0.475*44/12</f>
        <v>2.2051955637353184E-6</v>
      </c>
      <c r="CN74" s="22">
        <f t="shared" si="66"/>
        <v>1.0060736801273615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1.7053025658242404E-13</v>
      </c>
      <c r="O75" s="13">
        <f>N75*VLOOKUP('Données projet'!$B$9,Paramètres!$A$1:$I$89,3,0)*VLOOKUP('Données projet'!$B$9,Paramètres!$A$1:$I$89,5,0)</f>
        <v>1.250327841262333E-13</v>
      </c>
      <c r="P75" s="13">
        <f t="shared" si="87"/>
        <v>1.8301318724634299E-12</v>
      </c>
      <c r="Q75" s="20">
        <f t="shared" si="54"/>
        <v>3.405245110226996E-12</v>
      </c>
      <c r="R75" s="59">
        <f t="shared" si="55"/>
        <v>293.33333333333672</v>
      </c>
      <c r="S75" s="59">
        <f ca="1">AVERAGE(OFFSET($R$3,0,0,'Données projet'!$E$9+1,1))-AVERAGE(OFFSET($H$3,0,0,'Données projet'!$E$9+1,1))</f>
        <v>193.60868637458515</v>
      </c>
      <c r="T75" s="59">
        <f t="shared" si="88"/>
        <v>272.97841038165217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-1.7053025658242404E-13</v>
      </c>
      <c r="AJ75" s="13">
        <f>AI75*VLOOKUP('Données projet'!$B$10,Paramètres!$A$1:$I$89,3,0)*VLOOKUP('Données projet'!$B$10,Paramètres!$A$1:$I$89,5,0)</f>
        <v>-1.3567387213697657E-13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238.56893947183841</v>
      </c>
      <c r="AO75" s="59">
        <f t="shared" si="90"/>
        <v>292.57799203101769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233.39999999999995</v>
      </c>
      <c r="BE75" s="13">
        <f>BD75*VLOOKUP('Données projet'!$B$11,Paramètres!$A$1:$I$89,3,0)*VLOOKUP('Données projet'!$B$11,Paramètres!$A$1:$I$89,5,0)</f>
        <v>211.18031999999994</v>
      </c>
      <c r="BF75" s="13">
        <f t="shared" si="91"/>
        <v>52.193431117443019</v>
      </c>
      <c r="BG75" s="20">
        <f t="shared" si="61"/>
        <v>458.70928319621316</v>
      </c>
      <c r="BH75" s="59">
        <f t="shared" si="62"/>
        <v>752.04261652954642</v>
      </c>
      <c r="BI75" s="59">
        <f ca="1">AVERAGE(OFFSET($BH$3,0,0,'Données projet'!$E$11+1,1))-AVERAGE(OFFSET($H$3,0,0,'Données projet'!$E$11+1,1))</f>
        <v>277.20405719540543</v>
      </c>
      <c r="BJ75" s="59">
        <f t="shared" si="92"/>
        <v>231.36959598460686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5.6843418860808015E-14</v>
      </c>
      <c r="BZ75" s="13">
        <f>BY75*VLOOKUP('Données projet'!$B$12,Paramètres!$A$1:$I$89,3,0)*VLOOKUP('Données projet'!$B$12,Paramètres!$A$1:$I$89,5,0)</f>
        <v>4.4337866711430253E-14</v>
      </c>
      <c r="CA75" s="13">
        <f t="shared" si="93"/>
        <v>7.3222115536967035E-13</v>
      </c>
      <c r="CB75" s="20">
        <f t="shared" si="64"/>
        <v>1.3525069634579169E-12</v>
      </c>
      <c r="CC75" s="59">
        <f t="shared" si="65"/>
        <v>293.33333333333468</v>
      </c>
      <c r="CD75" s="59">
        <f ca="1">AVERAGE(OFFSET($CC$3,0,0,'Données projet'!$E$12+1,1))-AVERAGE(OFFSET($H$3,0,0,'Données projet'!$E$12+1,1))</f>
        <v>288.82868507674738</v>
      </c>
      <c r="CE75" s="59">
        <f t="shared" si="94"/>
        <v>283.48738729114024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0.97856039754278834</v>
      </c>
      <c r="CM75" s="21">
        <f>EXP(-LN(2)/2)*CM74+(1-EXP(-LN(2)/2))/(LN(2)/2)*CG75*CJ75*VLOOKUP('Données projet'!$B$12,Paramètres!$A$1:$I$89,3,0)*0.475*44/12</f>
        <v>1.5593087369597351E-6</v>
      </c>
      <c r="CN75" s="22">
        <f t="shared" si="66"/>
        <v>0.97856195685152525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1.7053025658242404E-13</v>
      </c>
      <c r="O76" s="13">
        <f>N76*VLOOKUP('Données projet'!$B$9,Paramètres!$A$1:$I$89,3,0)*VLOOKUP('Données projet'!$B$9,Paramètres!$A$1:$I$89,5,0)</f>
        <v>1.250327841262333E-13</v>
      </c>
      <c r="P76" s="13">
        <f t="shared" si="87"/>
        <v>1.8301318724634299E-12</v>
      </c>
      <c r="Q76" s="20">
        <f t="shared" si="54"/>
        <v>3.405245110226996E-12</v>
      </c>
      <c r="R76" s="59">
        <f t="shared" si="55"/>
        <v>293.33333333333672</v>
      </c>
      <c r="S76" s="59">
        <f ca="1">AVERAGE(OFFSET($R$3,0,0,'Données projet'!$E$9+1,1))-AVERAGE(OFFSET($H$3,0,0,'Données projet'!$E$9+1,1))</f>
        <v>193.60868637458515</v>
      </c>
      <c r="T76" s="59">
        <f t="shared" si="88"/>
        <v>272.97841038165217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-1.7053025658242404E-13</v>
      </c>
      <c r="AJ76" s="13">
        <f>AI76*VLOOKUP('Données projet'!$B$10,Paramètres!$A$1:$I$89,3,0)*VLOOKUP('Données projet'!$B$10,Paramètres!$A$1:$I$89,5,0)</f>
        <v>-1.3567387213697657E-13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238.56893947183841</v>
      </c>
      <c r="AO76" s="59">
        <f t="shared" si="90"/>
        <v>292.57799203101769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239.59999999999994</v>
      </c>
      <c r="BE76" s="13">
        <f>BD76*VLOOKUP('Données projet'!$B$11,Paramètres!$A$1:$I$89,3,0)*VLOOKUP('Données projet'!$B$11,Paramètres!$A$1:$I$89,5,0)</f>
        <v>216.79007999999996</v>
      </c>
      <c r="BF76" s="13">
        <f t="shared" si="91"/>
        <v>53.416629794462551</v>
      </c>
      <c r="BG76" s="20">
        <f t="shared" si="61"/>
        <v>470.61001955868886</v>
      </c>
      <c r="BH76" s="59">
        <f t="shared" si="62"/>
        <v>763.94335289202218</v>
      </c>
      <c r="BI76" s="59">
        <f ca="1">AVERAGE(OFFSET($BH$3,0,0,'Données projet'!$E$11+1,1))-AVERAGE(OFFSET($H$3,0,0,'Données projet'!$E$11+1,1))</f>
        <v>277.20405719540543</v>
      </c>
      <c r="BJ76" s="59">
        <f t="shared" si="92"/>
        <v>231.36959598460686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5.6843418860808015E-14</v>
      </c>
      <c r="BZ76" s="13">
        <f>BY76*VLOOKUP('Données projet'!$B$12,Paramètres!$A$1:$I$89,3,0)*VLOOKUP('Données projet'!$B$12,Paramètres!$A$1:$I$89,5,0)</f>
        <v>4.4337866711430253E-14</v>
      </c>
      <c r="CA76" s="13">
        <f t="shared" si="93"/>
        <v>7.3222115536967035E-13</v>
      </c>
      <c r="CB76" s="20">
        <f t="shared" si="64"/>
        <v>1.3525069634579169E-12</v>
      </c>
      <c r="CC76" s="59">
        <f t="shared" si="65"/>
        <v>293.33333333333468</v>
      </c>
      <c r="CD76" s="59">
        <f ca="1">AVERAGE(OFFSET($CC$3,0,0,'Données projet'!$E$12+1,1))-AVERAGE(OFFSET($H$3,0,0,'Données projet'!$E$12+1,1))</f>
        <v>288.82868507674738</v>
      </c>
      <c r="CE76" s="59">
        <f t="shared" si="94"/>
        <v>283.48738729114024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0.95180161201172597</v>
      </c>
      <c r="CM76" s="21">
        <f>EXP(-LN(2)/2)*CM75+(1-EXP(-LN(2)/2))/(LN(2)/2)*CG76*CJ76*VLOOKUP('Données projet'!$B$12,Paramètres!$A$1:$I$89,3,0)*0.475*44/12</f>
        <v>1.1025977818676592E-6</v>
      </c>
      <c r="CN76" s="22">
        <f t="shared" si="66"/>
        <v>0.95180271460950783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1.7053025658242404E-13</v>
      </c>
      <c r="O77" s="13">
        <f>N77*VLOOKUP('Données projet'!$B$9,Paramètres!$A$1:$I$89,3,0)*VLOOKUP('Données projet'!$B$9,Paramètres!$A$1:$I$89,5,0)</f>
        <v>1.250327841262333E-13</v>
      </c>
      <c r="P77" s="13">
        <f t="shared" si="87"/>
        <v>1.8301318724634299E-12</v>
      </c>
      <c r="Q77" s="20">
        <f t="shared" si="54"/>
        <v>3.405245110226996E-12</v>
      </c>
      <c r="R77" s="59">
        <f t="shared" si="55"/>
        <v>293.33333333333672</v>
      </c>
      <c r="S77" s="59">
        <f ca="1">AVERAGE(OFFSET($R$3,0,0,'Données projet'!$E$9+1,1))-AVERAGE(OFFSET($H$3,0,0,'Données projet'!$E$9+1,1))</f>
        <v>193.60868637458515</v>
      </c>
      <c r="T77" s="59">
        <f t="shared" si="88"/>
        <v>272.97841038165217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-1.7053025658242404E-13</v>
      </c>
      <c r="AJ77" s="13">
        <f>AI77*VLOOKUP('Données projet'!$B$10,Paramètres!$A$1:$I$89,3,0)*VLOOKUP('Données projet'!$B$10,Paramètres!$A$1:$I$89,5,0)</f>
        <v>-1.3567387213697657E-13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238.56893947183841</v>
      </c>
      <c r="AO77" s="59">
        <f t="shared" si="90"/>
        <v>292.57799203101769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245.79999999999993</v>
      </c>
      <c r="BE77" s="13">
        <f>BD77*VLOOKUP('Données projet'!$B$11,Paramètres!$A$1:$I$89,3,0)*VLOOKUP('Données projet'!$B$11,Paramètres!$A$1:$I$89,5,0)</f>
        <v>222.3998399999999</v>
      </c>
      <c r="BF77" s="13">
        <f t="shared" si="91"/>
        <v>54.636149281681448</v>
      </c>
      <c r="BG77" s="20">
        <f t="shared" si="61"/>
        <v>482.50434799892832</v>
      </c>
      <c r="BH77" s="59">
        <f t="shared" si="62"/>
        <v>775.83768133226158</v>
      </c>
      <c r="BI77" s="59">
        <f ca="1">AVERAGE(OFFSET($BH$3,0,0,'Données projet'!$E$11+1,1))-AVERAGE(OFFSET($H$3,0,0,'Données projet'!$E$11+1,1))</f>
        <v>277.20405719540543</v>
      </c>
      <c r="BJ77" s="59">
        <f t="shared" si="92"/>
        <v>231.36959598460686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5.6843418860808015E-14</v>
      </c>
      <c r="BZ77" s="13">
        <f>BY77*VLOOKUP('Données projet'!$B$12,Paramètres!$A$1:$I$89,3,0)*VLOOKUP('Données projet'!$B$12,Paramètres!$A$1:$I$89,5,0)</f>
        <v>4.4337866711430253E-14</v>
      </c>
      <c r="CA77" s="13">
        <f t="shared" si="93"/>
        <v>7.3222115536967035E-13</v>
      </c>
      <c r="CB77" s="20">
        <f t="shared" si="64"/>
        <v>1.3525069634579169E-12</v>
      </c>
      <c r="CC77" s="59">
        <f t="shared" si="65"/>
        <v>293.33333333333468</v>
      </c>
      <c r="CD77" s="59">
        <f ca="1">AVERAGE(OFFSET($CC$3,0,0,'Données projet'!$E$12+1,1))-AVERAGE(OFFSET($H$3,0,0,'Données projet'!$E$12+1,1))</f>
        <v>288.82868507674738</v>
      </c>
      <c r="CE77" s="59">
        <f t="shared" si="94"/>
        <v>283.48738729114024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0.92577454687819394</v>
      </c>
      <c r="CM77" s="21">
        <f>EXP(-LN(2)/2)*CM76+(1-EXP(-LN(2)/2))/(LN(2)/2)*CG77*CJ77*VLOOKUP('Données projet'!$B$12,Paramètres!$A$1:$I$89,3,0)*0.475*44/12</f>
        <v>7.7965436847986755E-7</v>
      </c>
      <c r="CN77" s="22">
        <f t="shared" si="66"/>
        <v>0.92577532653256245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1.7053025658242404E-13</v>
      </c>
      <c r="O78" s="13">
        <f>N78*VLOOKUP('Données projet'!$B$9,Paramètres!$A$1:$I$89,3,0)*VLOOKUP('Données projet'!$B$9,Paramètres!$A$1:$I$89,5,0)</f>
        <v>1.250327841262333E-13</v>
      </c>
      <c r="P78" s="13">
        <f t="shared" si="87"/>
        <v>1.8301318724634299E-12</v>
      </c>
      <c r="Q78" s="20">
        <f t="shared" si="54"/>
        <v>3.405245110226996E-12</v>
      </c>
      <c r="R78" s="59">
        <f t="shared" si="55"/>
        <v>293.33333333333672</v>
      </c>
      <c r="S78" s="59">
        <f ca="1">AVERAGE(OFFSET($R$3,0,0,'Données projet'!$E$9+1,1))-AVERAGE(OFFSET($H$3,0,0,'Données projet'!$E$9+1,1))</f>
        <v>193.60868637458515</v>
      </c>
      <c r="T78" s="59">
        <f t="shared" si="88"/>
        <v>272.97841038165217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-1.7053025658242404E-13</v>
      </c>
      <c r="AJ78" s="13">
        <f>AI78*VLOOKUP('Données projet'!$B$10,Paramètres!$A$1:$I$89,3,0)*VLOOKUP('Données projet'!$B$10,Paramètres!$A$1:$I$89,5,0)</f>
        <v>-1.3567387213697657E-13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238.56893947183841</v>
      </c>
      <c r="AO78" s="59">
        <f t="shared" si="90"/>
        <v>292.57799203101769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252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251.99999999999991</v>
      </c>
      <c r="BE78" s="13">
        <f>BD78*VLOOKUP('Données projet'!$B$11,Paramètres!$A$1:$I$89,3,0)*VLOOKUP('Données projet'!$B$11,Paramètres!$A$1:$I$89,5,0)</f>
        <v>228.00959999999992</v>
      </c>
      <c r="BF78" s="13">
        <f t="shared" si="91"/>
        <v>55.852093054619829</v>
      </c>
      <c r="BG78" s="20">
        <f t="shared" si="61"/>
        <v>494.3924487367961</v>
      </c>
      <c r="BH78" s="59">
        <f t="shared" si="62"/>
        <v>787.72578207012941</v>
      </c>
      <c r="BI78" s="59">
        <f ca="1">AVERAGE(OFFSET($BH$3,0,0,'Données projet'!$E$11+1,1))-AVERAGE(OFFSET($H$3,0,0,'Données projet'!$E$11+1,1))</f>
        <v>277.20405719540543</v>
      </c>
      <c r="BJ78" s="59">
        <f t="shared" si="92"/>
        <v>231.36959598460686</v>
      </c>
      <c r="BK78" s="15">
        <f>IF(ISNA(VLOOKUP(A78,'Données projet'!$A$87:$I$107,3,0)),0,VLOOKUP(A78,'Données projet'!$A$87:$I$107,3,0))</f>
        <v>12</v>
      </c>
      <c r="BL78" s="15">
        <f>IF(ISNA(VLOOKUP(A78,'Données projet'!$A$87:$I$107,4,0)),0,VLOOKUP(A78,'Données projet'!$A$87:$I$107,4,0))</f>
        <v>21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5.6843418860808015E-14</v>
      </c>
      <c r="BZ78" s="13">
        <f>BY78*VLOOKUP('Données projet'!$B$12,Paramètres!$A$1:$I$89,3,0)*VLOOKUP('Données projet'!$B$12,Paramètres!$A$1:$I$89,5,0)</f>
        <v>4.4337866711430253E-14</v>
      </c>
      <c r="CA78" s="13">
        <f t="shared" si="93"/>
        <v>7.3222115536967035E-13</v>
      </c>
      <c r="CB78" s="20">
        <f t="shared" si="64"/>
        <v>1.3525069634579169E-12</v>
      </c>
      <c r="CC78" s="59">
        <f t="shared" si="65"/>
        <v>293.33333333333468</v>
      </c>
      <c r="CD78" s="59">
        <f ca="1">AVERAGE(OFFSET($CC$3,0,0,'Données projet'!$E$12+1,1))-AVERAGE(OFFSET($H$3,0,0,'Données projet'!$E$12+1,1))</f>
        <v>288.82868507674738</v>
      </c>
      <c r="CE78" s="59">
        <f t="shared" si="94"/>
        <v>283.48738729114024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0.90045919320944223</v>
      </c>
      <c r="CM78" s="21">
        <f>EXP(-LN(2)/2)*CM77+(1-EXP(-LN(2)/2))/(LN(2)/2)*CG78*CJ78*VLOOKUP('Données projet'!$B$12,Paramètres!$A$1:$I$89,3,0)*0.475*44/12</f>
        <v>5.5129889093382959E-7</v>
      </c>
      <c r="CN78" s="22">
        <f t="shared" si="66"/>
        <v>0.90045974450833322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1.7053025658242404E-13</v>
      </c>
      <c r="O79" s="13">
        <f>N79*VLOOKUP('Données projet'!$B$9,Paramètres!$A$1:$I$89,3,0)*VLOOKUP('Données projet'!$B$9,Paramètres!$A$1:$I$89,5,0)</f>
        <v>1.250327841262333E-13</v>
      </c>
      <c r="P79" s="13">
        <f t="shared" si="87"/>
        <v>1.8301318724634299E-12</v>
      </c>
      <c r="Q79" s="20">
        <f t="shared" si="54"/>
        <v>3.405245110226996E-12</v>
      </c>
      <c r="R79" s="59">
        <f t="shared" si="55"/>
        <v>293.33333333333672</v>
      </c>
      <c r="S79" s="59">
        <f ca="1">AVERAGE(OFFSET($R$3,0,0,'Données projet'!$E$9+1,1))-AVERAGE(OFFSET($H$3,0,0,'Données projet'!$E$9+1,1))</f>
        <v>193.60868637458515</v>
      </c>
      <c r="T79" s="59">
        <f t="shared" si="88"/>
        <v>272.97841038165217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-1.7053025658242404E-13</v>
      </c>
      <c r="AJ79" s="13">
        <f>AI79*VLOOKUP('Données projet'!$B$10,Paramètres!$A$1:$I$89,3,0)*VLOOKUP('Données projet'!$B$10,Paramètres!$A$1:$I$89,5,0)</f>
        <v>-1.3567387213697657E-13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238.56893947183841</v>
      </c>
      <c r="AO79" s="59">
        <f t="shared" si="90"/>
        <v>292.57799203101769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236.99999999999989</v>
      </c>
      <c r="BE79" s="13">
        <f>BD79*VLOOKUP('Données projet'!$B$11,Paramètres!$A$1:$I$89,3,0)*VLOOKUP('Données projet'!$B$11,Paramètres!$A$1:$I$89,5,0)</f>
        <v>214.43759999999989</v>
      </c>
      <c r="BF79" s="13">
        <f t="shared" si="91"/>
        <v>52.904129603372375</v>
      </c>
      <c r="BG79" s="20">
        <f t="shared" si="61"/>
        <v>465.62017905920658</v>
      </c>
      <c r="BH79" s="59">
        <f t="shared" si="62"/>
        <v>758.95351239253989</v>
      </c>
      <c r="BI79" s="59">
        <f ca="1">AVERAGE(OFFSET($BH$3,0,0,'Données projet'!$E$11+1,1))-AVERAGE(OFFSET($H$3,0,0,'Données projet'!$E$11+1,1))</f>
        <v>277.20405719540543</v>
      </c>
      <c r="BJ79" s="59">
        <f t="shared" si="92"/>
        <v>231.36959598460686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5.6843418860808015E-14</v>
      </c>
      <c r="BZ79" s="13">
        <f>BY79*VLOOKUP('Données projet'!$B$12,Paramètres!$A$1:$I$89,3,0)*VLOOKUP('Données projet'!$B$12,Paramètres!$A$1:$I$89,5,0)</f>
        <v>4.4337866711430253E-14</v>
      </c>
      <c r="CA79" s="13">
        <f t="shared" si="93"/>
        <v>7.3222115536967035E-13</v>
      </c>
      <c r="CB79" s="20">
        <f t="shared" si="64"/>
        <v>1.3525069634579169E-12</v>
      </c>
      <c r="CC79" s="59">
        <f t="shared" si="65"/>
        <v>293.33333333333468</v>
      </c>
      <c r="CD79" s="59">
        <f ca="1">AVERAGE(OFFSET($CC$3,0,0,'Données projet'!$E$12+1,1))-AVERAGE(OFFSET($H$3,0,0,'Données projet'!$E$12+1,1))</f>
        <v>288.82868507674738</v>
      </c>
      <c r="CE79" s="59">
        <f t="shared" si="94"/>
        <v>283.48738729114024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0.87583608921803913</v>
      </c>
      <c r="CM79" s="21">
        <f>EXP(-LN(2)/2)*CM78+(1-EXP(-LN(2)/2))/(LN(2)/2)*CG79*CJ79*VLOOKUP('Données projet'!$B$12,Paramètres!$A$1:$I$89,3,0)*0.475*44/12</f>
        <v>3.8982718423993378E-7</v>
      </c>
      <c r="CN79" s="22">
        <f t="shared" si="66"/>
        <v>0.87583647904522333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1.7053025658242404E-13</v>
      </c>
      <c r="O80" s="13">
        <f>N80*VLOOKUP('Données projet'!$B$9,Paramètres!$A$1:$I$89,3,0)*VLOOKUP('Données projet'!$B$9,Paramètres!$A$1:$I$89,5,0)</f>
        <v>1.250327841262333E-13</v>
      </c>
      <c r="P80" s="13">
        <f t="shared" si="87"/>
        <v>1.8301318724634299E-12</v>
      </c>
      <c r="Q80" s="20">
        <f t="shared" si="54"/>
        <v>3.405245110226996E-12</v>
      </c>
      <c r="R80" s="59">
        <f t="shared" si="55"/>
        <v>293.33333333333672</v>
      </c>
      <c r="S80" s="59">
        <f ca="1">AVERAGE(OFFSET($R$3,0,0,'Données projet'!$E$9+1,1))-AVERAGE(OFFSET($H$3,0,0,'Données projet'!$E$9+1,1))</f>
        <v>193.60868637458515</v>
      </c>
      <c r="T80" s="59">
        <f t="shared" si="88"/>
        <v>272.97841038165217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-1.7053025658242404E-13</v>
      </c>
      <c r="AJ80" s="13">
        <f>AI80*VLOOKUP('Données projet'!$B$10,Paramètres!$A$1:$I$89,3,0)*VLOOKUP('Données projet'!$B$10,Paramètres!$A$1:$I$89,5,0)</f>
        <v>-1.3567387213697657E-13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238.56893947183841</v>
      </c>
      <c r="AO80" s="59">
        <f t="shared" si="90"/>
        <v>292.57799203101769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242.99999999999989</v>
      </c>
      <c r="BE80" s="13">
        <f>BD80*VLOOKUP('Données projet'!$B$11,Paramètres!$A$1:$I$89,3,0)*VLOOKUP('Données projet'!$B$11,Paramètres!$A$1:$I$89,5,0)</f>
        <v>219.86639999999989</v>
      </c>
      <c r="BF80" s="13">
        <f t="shared" si="91"/>
        <v>54.085847394182416</v>
      </c>
      <c r="BG80" s="20">
        <f t="shared" si="61"/>
        <v>477.13349754486745</v>
      </c>
      <c r="BH80" s="59">
        <f t="shared" si="62"/>
        <v>770.46683087820077</v>
      </c>
      <c r="BI80" s="59">
        <f ca="1">AVERAGE(OFFSET($BH$3,0,0,'Données projet'!$E$11+1,1))-AVERAGE(OFFSET($H$3,0,0,'Données projet'!$E$11+1,1))</f>
        <v>277.20405719540543</v>
      </c>
      <c r="BJ80" s="59">
        <f t="shared" si="92"/>
        <v>231.36959598460686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5.6843418860808015E-14</v>
      </c>
      <c r="BZ80" s="13">
        <f>BY80*VLOOKUP('Données projet'!$B$12,Paramètres!$A$1:$I$89,3,0)*VLOOKUP('Données projet'!$B$12,Paramètres!$A$1:$I$89,5,0)</f>
        <v>4.4337866711430253E-14</v>
      </c>
      <c r="CA80" s="13">
        <f t="shared" si="93"/>
        <v>7.3222115536967035E-13</v>
      </c>
      <c r="CB80" s="20">
        <f t="shared" si="64"/>
        <v>1.3525069634579169E-12</v>
      </c>
      <c r="CC80" s="59">
        <f t="shared" si="65"/>
        <v>293.33333333333468</v>
      </c>
      <c r="CD80" s="59">
        <f ca="1">AVERAGE(OFFSET($CC$3,0,0,'Données projet'!$E$12+1,1))-AVERAGE(OFFSET($H$3,0,0,'Données projet'!$E$12+1,1))</f>
        <v>288.82868507674738</v>
      </c>
      <c r="CE80" s="59">
        <f t="shared" si="94"/>
        <v>283.48738729114024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0.85188630530015363</v>
      </c>
      <c r="CM80" s="21">
        <f>EXP(-LN(2)/2)*CM79+(1-EXP(-LN(2)/2))/(LN(2)/2)*CG80*CJ80*VLOOKUP('Données projet'!$B$12,Paramètres!$A$1:$I$89,3,0)*0.475*44/12</f>
        <v>2.756494454669148E-7</v>
      </c>
      <c r="CN80" s="22">
        <f t="shared" si="66"/>
        <v>0.85188658094959913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1.7053025658242404E-13</v>
      </c>
      <c r="O81" s="13">
        <f>N81*VLOOKUP('Données projet'!$B$9,Paramètres!$A$1:$I$89,3,0)*VLOOKUP('Données projet'!$B$9,Paramètres!$A$1:$I$89,5,0)</f>
        <v>1.250327841262333E-13</v>
      </c>
      <c r="P81" s="13">
        <f t="shared" si="87"/>
        <v>1.8301318724634299E-12</v>
      </c>
      <c r="Q81" s="20">
        <f t="shared" si="54"/>
        <v>3.405245110226996E-12</v>
      </c>
      <c r="R81" s="59">
        <f t="shared" si="55"/>
        <v>293.33333333333672</v>
      </c>
      <c r="S81" s="59">
        <f ca="1">AVERAGE(OFFSET($R$3,0,0,'Données projet'!$E$9+1,1))-AVERAGE(OFFSET($H$3,0,0,'Données projet'!$E$9+1,1))</f>
        <v>193.60868637458515</v>
      </c>
      <c r="T81" s="59">
        <f t="shared" si="88"/>
        <v>272.97841038165217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-1.7053025658242404E-13</v>
      </c>
      <c r="AJ81" s="13">
        <f>AI81*VLOOKUP('Données projet'!$B$10,Paramètres!$A$1:$I$89,3,0)*VLOOKUP('Données projet'!$B$10,Paramètres!$A$1:$I$89,5,0)</f>
        <v>-1.3567387213697657E-13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238.56893947183841</v>
      </c>
      <c r="AO81" s="59">
        <f t="shared" si="90"/>
        <v>292.57799203101769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248.99999999999989</v>
      </c>
      <c r="BE81" s="13">
        <f>BD81*VLOOKUP('Données projet'!$B$11,Paramètres!$A$1:$I$89,3,0)*VLOOKUP('Données projet'!$B$11,Paramètres!$A$1:$I$89,5,0)</f>
        <v>225.29519999999991</v>
      </c>
      <c r="BF81" s="13">
        <f t="shared" si="91"/>
        <v>55.264173352293078</v>
      </c>
      <c r="BG81" s="20">
        <f t="shared" si="61"/>
        <v>488.64090858857691</v>
      </c>
      <c r="BH81" s="59">
        <f t="shared" si="62"/>
        <v>781.97424192191022</v>
      </c>
      <c r="BI81" s="59">
        <f ca="1">AVERAGE(OFFSET($BH$3,0,0,'Données projet'!$E$11+1,1))-AVERAGE(OFFSET($H$3,0,0,'Données projet'!$E$11+1,1))</f>
        <v>277.20405719540543</v>
      </c>
      <c r="BJ81" s="59">
        <f t="shared" si="92"/>
        <v>231.36959598460686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5.6843418860808015E-14</v>
      </c>
      <c r="BZ81" s="13">
        <f>BY81*VLOOKUP('Données projet'!$B$12,Paramètres!$A$1:$I$89,3,0)*VLOOKUP('Données projet'!$B$12,Paramètres!$A$1:$I$89,5,0)</f>
        <v>4.4337866711430253E-14</v>
      </c>
      <c r="CA81" s="13">
        <f t="shared" si="93"/>
        <v>7.3222115536967035E-13</v>
      </c>
      <c r="CB81" s="20">
        <f t="shared" si="64"/>
        <v>1.3525069634579169E-12</v>
      </c>
      <c r="CC81" s="59">
        <f t="shared" si="65"/>
        <v>293.33333333333468</v>
      </c>
      <c r="CD81" s="59">
        <f ca="1">AVERAGE(OFFSET($CC$3,0,0,'Données projet'!$E$12+1,1))-AVERAGE(OFFSET($H$3,0,0,'Données projet'!$E$12+1,1))</f>
        <v>288.82868507674738</v>
      </c>
      <c r="CE81" s="59">
        <f t="shared" si="94"/>
        <v>283.48738729114024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0.82859142948296716</v>
      </c>
      <c r="CM81" s="21">
        <f>EXP(-LN(2)/2)*CM80+(1-EXP(-LN(2)/2))/(LN(2)/2)*CG81*CJ81*VLOOKUP('Données projet'!$B$12,Paramètres!$A$1:$I$89,3,0)*0.475*44/12</f>
        <v>1.9491359211996689E-7</v>
      </c>
      <c r="CN81" s="22">
        <f t="shared" si="66"/>
        <v>0.82859162439655931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1.7053025658242404E-13</v>
      </c>
      <c r="O82" s="13">
        <f>N82*VLOOKUP('Données projet'!$B$9,Paramètres!$A$1:$I$89,3,0)*VLOOKUP('Données projet'!$B$9,Paramètres!$A$1:$I$89,5,0)</f>
        <v>1.250327841262333E-13</v>
      </c>
      <c r="P82" s="13">
        <f t="shared" si="87"/>
        <v>1.8301318724634299E-12</v>
      </c>
      <c r="Q82" s="20">
        <f t="shared" si="54"/>
        <v>3.405245110226996E-12</v>
      </c>
      <c r="R82" s="59">
        <f t="shared" si="55"/>
        <v>293.33333333333672</v>
      </c>
      <c r="S82" s="59">
        <f ca="1">AVERAGE(OFFSET($R$3,0,0,'Données projet'!$E$9+1,1))-AVERAGE(OFFSET($H$3,0,0,'Données projet'!$E$9+1,1))</f>
        <v>193.60868637458515</v>
      </c>
      <c r="T82" s="59">
        <f t="shared" si="88"/>
        <v>272.97841038165217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-1.7053025658242404E-13</v>
      </c>
      <c r="AJ82" s="13">
        <f>AI82*VLOOKUP('Données projet'!$B$10,Paramètres!$A$1:$I$89,3,0)*VLOOKUP('Données projet'!$B$10,Paramètres!$A$1:$I$89,5,0)</f>
        <v>-1.3567387213697657E-13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238.56893947183841</v>
      </c>
      <c r="AO82" s="59">
        <f t="shared" si="90"/>
        <v>292.57799203101769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254.99999999999989</v>
      </c>
      <c r="BE82" s="13">
        <f>BD82*VLOOKUP('Données projet'!$B$11,Paramètres!$A$1:$I$89,3,0)*VLOOKUP('Données projet'!$B$11,Paramètres!$A$1:$I$89,5,0)</f>
        <v>230.72399999999988</v>
      </c>
      <c r="BF82" s="13">
        <f t="shared" si="91"/>
        <v>56.439198612082045</v>
      </c>
      <c r="BG82" s="20">
        <f t="shared" si="61"/>
        <v>500.14257091604264</v>
      </c>
      <c r="BH82" s="59">
        <f t="shared" si="62"/>
        <v>793.47590424937596</v>
      </c>
      <c r="BI82" s="59">
        <f ca="1">AVERAGE(OFFSET($BH$3,0,0,'Données projet'!$E$11+1,1))-AVERAGE(OFFSET($H$3,0,0,'Données projet'!$E$11+1,1))</f>
        <v>277.20405719540543</v>
      </c>
      <c r="BJ82" s="59">
        <f t="shared" si="92"/>
        <v>231.36959598460686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5.6843418860808015E-14</v>
      </c>
      <c r="BZ82" s="13">
        <f>BY82*VLOOKUP('Données projet'!$B$12,Paramètres!$A$1:$I$89,3,0)*VLOOKUP('Données projet'!$B$12,Paramètres!$A$1:$I$89,5,0)</f>
        <v>4.4337866711430253E-14</v>
      </c>
      <c r="CA82" s="13">
        <f t="shared" si="93"/>
        <v>7.3222115536967035E-13</v>
      </c>
      <c r="CB82" s="20">
        <f t="shared" si="64"/>
        <v>1.3525069634579169E-12</v>
      </c>
      <c r="CC82" s="59">
        <f t="shared" si="65"/>
        <v>293.33333333333468</v>
      </c>
      <c r="CD82" s="59">
        <f ca="1">AVERAGE(OFFSET($CC$3,0,0,'Données projet'!$E$12+1,1))-AVERAGE(OFFSET($H$3,0,0,'Données projet'!$E$12+1,1))</f>
        <v>288.82868507674738</v>
      </c>
      <c r="CE82" s="59">
        <f t="shared" si="94"/>
        <v>283.48738729114024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0.80593355327002592</v>
      </c>
      <c r="CM82" s="21">
        <f>EXP(-LN(2)/2)*CM81+(1-EXP(-LN(2)/2))/(LN(2)/2)*CG82*CJ82*VLOOKUP('Données projet'!$B$12,Paramètres!$A$1:$I$89,3,0)*0.475*44/12</f>
        <v>1.378247227334574E-7</v>
      </c>
      <c r="CN82" s="22">
        <f t="shared" si="66"/>
        <v>0.80593369109474866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1.7053025658242404E-13</v>
      </c>
      <c r="O83" s="13">
        <f>N83*VLOOKUP('Données projet'!$B$9,Paramètres!$A$1:$I$89,3,0)*VLOOKUP('Données projet'!$B$9,Paramètres!$A$1:$I$89,5,0)</f>
        <v>1.250327841262333E-13</v>
      </c>
      <c r="P83" s="13">
        <f t="shared" si="87"/>
        <v>1.8301318724634299E-12</v>
      </c>
      <c r="Q83" s="20">
        <f t="shared" si="54"/>
        <v>3.405245110226996E-12</v>
      </c>
      <c r="R83" s="59">
        <f t="shared" si="55"/>
        <v>293.33333333333672</v>
      </c>
      <c r="S83" s="59">
        <f ca="1">AVERAGE(OFFSET($R$3,0,0,'Données projet'!$E$9+1,1))-AVERAGE(OFFSET($H$3,0,0,'Données projet'!$E$9+1,1))</f>
        <v>193.60868637458515</v>
      </c>
      <c r="T83" s="59">
        <f t="shared" si="88"/>
        <v>272.97841038165217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-1.7053025658242404E-13</v>
      </c>
      <c r="AJ83" s="13">
        <f>AI83*VLOOKUP('Données projet'!$B$10,Paramètres!$A$1:$I$89,3,0)*VLOOKUP('Données projet'!$B$10,Paramètres!$A$1:$I$89,5,0)</f>
        <v>-1.3567387213697657E-13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238.56893947183841</v>
      </c>
      <c r="AO83" s="59">
        <f t="shared" si="90"/>
        <v>292.57799203101769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261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260.99999999999989</v>
      </c>
      <c r="BE83" s="13">
        <f>BD83*VLOOKUP('Données projet'!$B$11,Paramètres!$A$1:$I$89,3,0)*VLOOKUP('Données projet'!$B$11,Paramètres!$A$1:$I$89,5,0)</f>
        <v>236.15279999999987</v>
      </c>
      <c r="BF83" s="13">
        <f t="shared" si="91"/>
        <v>57.61100977459931</v>
      </c>
      <c r="BG83" s="20">
        <f t="shared" si="61"/>
        <v>511.63863535742689</v>
      </c>
      <c r="BH83" s="59">
        <f t="shared" si="62"/>
        <v>804.97196869076015</v>
      </c>
      <c r="BI83" s="59">
        <f ca="1">AVERAGE(OFFSET($BH$3,0,0,'Données projet'!$E$11+1,1))-AVERAGE(OFFSET($H$3,0,0,'Données projet'!$E$11+1,1))</f>
        <v>277.20405719540543</v>
      </c>
      <c r="BJ83" s="59">
        <f t="shared" si="92"/>
        <v>231.36959598460686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261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5.6843418860808015E-14</v>
      </c>
      <c r="BZ83" s="13">
        <f>BY83*VLOOKUP('Données projet'!$B$12,Paramètres!$A$1:$I$89,3,0)*VLOOKUP('Données projet'!$B$12,Paramètres!$A$1:$I$89,5,0)</f>
        <v>4.4337866711430253E-14</v>
      </c>
      <c r="CA83" s="13">
        <f t="shared" si="93"/>
        <v>7.3222115536967035E-13</v>
      </c>
      <c r="CB83" s="20">
        <f t="shared" si="64"/>
        <v>1.3525069634579169E-12</v>
      </c>
      <c r="CC83" s="59">
        <f t="shared" si="65"/>
        <v>293.33333333333468</v>
      </c>
      <c r="CD83" s="59">
        <f ca="1">AVERAGE(OFFSET($CC$3,0,0,'Données projet'!$E$12+1,1))-AVERAGE(OFFSET($H$3,0,0,'Données projet'!$E$12+1,1))</f>
        <v>288.82868507674738</v>
      </c>
      <c r="CE83" s="59">
        <f t="shared" si="94"/>
        <v>283.48738729114024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0.78389525787365344</v>
      </c>
      <c r="CM83" s="21">
        <f>EXP(-LN(2)/2)*CM82+(1-EXP(-LN(2)/2))/(LN(2)/2)*CG83*CJ83*VLOOKUP('Données projet'!$B$12,Paramètres!$A$1:$I$89,3,0)*0.475*44/12</f>
        <v>9.7456796059983444E-8</v>
      </c>
      <c r="CN83" s="22">
        <f t="shared" si="66"/>
        <v>0.78389535533044952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1.7053025658242404E-13</v>
      </c>
      <c r="O84" s="13">
        <f>N84*VLOOKUP('Données projet'!$B$9,Paramètres!$A$1:$I$89,3,0)*VLOOKUP('Données projet'!$B$9,Paramètres!$A$1:$I$89,5,0)</f>
        <v>1.250327841262333E-13</v>
      </c>
      <c r="P84" s="13">
        <f t="shared" si="87"/>
        <v>1.8301318724634299E-12</v>
      </c>
      <c r="Q84" s="20">
        <f t="shared" si="54"/>
        <v>3.405245110226996E-12</v>
      </c>
      <c r="R84" s="59">
        <f t="shared" si="55"/>
        <v>293.33333333333672</v>
      </c>
      <c r="S84" s="59">
        <f ca="1">AVERAGE(OFFSET($R$3,0,0,'Données projet'!$E$9+1,1))-AVERAGE(OFFSET($H$3,0,0,'Données projet'!$E$9+1,1))</f>
        <v>193.60868637458515</v>
      </c>
      <c r="T84" s="59">
        <f t="shared" si="88"/>
        <v>272.97841038165217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-1.7053025658242404E-13</v>
      </c>
      <c r="AJ84" s="13">
        <f>AI84*VLOOKUP('Données projet'!$B$10,Paramètres!$A$1:$I$89,3,0)*VLOOKUP('Données projet'!$B$10,Paramètres!$A$1:$I$89,5,0)</f>
        <v>-1.3567387213697657E-13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238.56893947183841</v>
      </c>
      <c r="AO84" s="59">
        <f t="shared" si="90"/>
        <v>292.57799203101769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-1.0286385077051818E-13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277.20405719540543</v>
      </c>
      <c r="BJ84" s="59">
        <f t="shared" si="92"/>
        <v>231.36959598460686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projet'!$B$12,Paramètres!$A$1:$I$89,3,0)*VLOOKUP('Données projet'!$B$12,Paramètres!$A$1:$I$89,5,0)</f>
        <v>4.4337866711430253E-14</v>
      </c>
      <c r="CA84" s="13">
        <f t="shared" si="93"/>
        <v>7.3222115536967035E-13</v>
      </c>
      <c r="CB84" s="20">
        <f t="shared" si="64"/>
        <v>1.3525069634579169E-12</v>
      </c>
      <c r="CC84" s="59">
        <f t="shared" si="65"/>
        <v>293.33333333333468</v>
      </c>
      <c r="CD84" s="59">
        <f ca="1">AVERAGE(OFFSET($CC$3,0,0,'Données projet'!$E$12+1,1))-AVERAGE(OFFSET($H$3,0,0,'Données projet'!$E$12+1,1))</f>
        <v>288.82868507674738</v>
      </c>
      <c r="CE84" s="59">
        <f t="shared" si="94"/>
        <v>283.48738729114024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0.76245960082383835</v>
      </c>
      <c r="CM84" s="21">
        <f>EXP(-LN(2)/2)*CM83+(1-EXP(-LN(2)/2))/(LN(2)/2)*CG84*CJ84*VLOOKUP('Données projet'!$B$12,Paramètres!$A$1:$I$89,3,0)*0.475*44/12</f>
        <v>6.8912361366728699E-8</v>
      </c>
      <c r="CN84" s="22">
        <f t="shared" si="66"/>
        <v>0.76245966973619972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1.7053025658242404E-13</v>
      </c>
      <c r="O85" s="13">
        <f>N85*VLOOKUP('Données projet'!$B$9,Paramètres!$A$1:$I$89,3,0)*VLOOKUP('Données projet'!$B$9,Paramètres!$A$1:$I$89,5,0)</f>
        <v>1.250327841262333E-13</v>
      </c>
      <c r="P85" s="13">
        <f t="shared" si="87"/>
        <v>1.8301318724634299E-12</v>
      </c>
      <c r="Q85" s="20">
        <f t="shared" si="54"/>
        <v>3.405245110226996E-12</v>
      </c>
      <c r="R85" s="59">
        <f t="shared" si="55"/>
        <v>293.33333333333672</v>
      </c>
      <c r="S85" s="59">
        <f ca="1">AVERAGE(OFFSET($R$3,0,0,'Données projet'!$E$9+1,1))-AVERAGE(OFFSET($H$3,0,0,'Données projet'!$E$9+1,1))</f>
        <v>193.60868637458515</v>
      </c>
      <c r="T85" s="59">
        <f t="shared" si="88"/>
        <v>272.97841038165217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-1.7053025658242404E-13</v>
      </c>
      <c r="AJ85" s="13">
        <f>AI85*VLOOKUP('Données projet'!$B$10,Paramètres!$A$1:$I$89,3,0)*VLOOKUP('Données projet'!$B$10,Paramètres!$A$1:$I$89,5,0)</f>
        <v>-1.3567387213697657E-13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238.56893947183841</v>
      </c>
      <c r="AO85" s="59">
        <f t="shared" si="90"/>
        <v>292.57799203101769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-1.0286385077051818E-13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277.20405719540543</v>
      </c>
      <c r="BJ85" s="59">
        <f t="shared" si="92"/>
        <v>231.36959598460686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projet'!$B$12,Paramètres!$A$1:$I$89,3,0)*VLOOKUP('Données projet'!$B$12,Paramètres!$A$1:$I$89,5,0)</f>
        <v>4.4337866711430253E-14</v>
      </c>
      <c r="CA85" s="13">
        <f t="shared" si="93"/>
        <v>7.3222115536967035E-13</v>
      </c>
      <c r="CB85" s="20">
        <f t="shared" si="64"/>
        <v>1.3525069634579169E-12</v>
      </c>
      <c r="CC85" s="59">
        <f t="shared" si="65"/>
        <v>293.33333333333468</v>
      </c>
      <c r="CD85" s="59">
        <f ca="1">AVERAGE(OFFSET($CC$3,0,0,'Données projet'!$E$12+1,1))-AVERAGE(OFFSET($H$3,0,0,'Données projet'!$E$12+1,1))</f>
        <v>288.82868507674738</v>
      </c>
      <c r="CE85" s="59">
        <f t="shared" si="94"/>
        <v>283.48738729114024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0.74161010294330265</v>
      </c>
      <c r="CM85" s="21">
        <f>EXP(-LN(2)/2)*CM84+(1-EXP(-LN(2)/2))/(LN(2)/2)*CG85*CJ85*VLOOKUP('Données projet'!$B$12,Paramètres!$A$1:$I$89,3,0)*0.475*44/12</f>
        <v>4.8728398029991722E-8</v>
      </c>
      <c r="CN85" s="22">
        <f t="shared" si="66"/>
        <v>0.74161015167170063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1.7053025658242404E-13</v>
      </c>
      <c r="O86" s="13">
        <f>N86*VLOOKUP('Données projet'!$B$9,Paramètres!$A$1:$I$89,3,0)*VLOOKUP('Données projet'!$B$9,Paramètres!$A$1:$I$89,5,0)</f>
        <v>1.250327841262333E-13</v>
      </c>
      <c r="P86" s="13">
        <f t="shared" si="87"/>
        <v>1.8301318724634299E-12</v>
      </c>
      <c r="Q86" s="20">
        <f t="shared" si="54"/>
        <v>3.405245110226996E-12</v>
      </c>
      <c r="R86" s="59">
        <f t="shared" si="55"/>
        <v>293.33333333333672</v>
      </c>
      <c r="S86" s="59">
        <f ca="1">AVERAGE(OFFSET($R$3,0,0,'Données projet'!$E$9+1,1))-AVERAGE(OFFSET($H$3,0,0,'Données projet'!$E$9+1,1))</f>
        <v>193.60868637458515</v>
      </c>
      <c r="T86" s="59">
        <f t="shared" si="88"/>
        <v>272.97841038165217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-1.7053025658242404E-13</v>
      </c>
      <c r="AJ86" s="13">
        <f>AI86*VLOOKUP('Données projet'!$B$10,Paramètres!$A$1:$I$89,3,0)*VLOOKUP('Données projet'!$B$10,Paramètres!$A$1:$I$89,5,0)</f>
        <v>-1.3567387213697657E-13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238.56893947183841</v>
      </c>
      <c r="AO86" s="59">
        <f t="shared" si="90"/>
        <v>292.57799203101769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-1.0286385077051818E-13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277.20405719540543</v>
      </c>
      <c r="BJ86" s="59">
        <f t="shared" si="92"/>
        <v>231.36959598460686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projet'!$B$12,Paramètres!$A$1:$I$89,3,0)*VLOOKUP('Données projet'!$B$12,Paramètres!$A$1:$I$89,5,0)</f>
        <v>4.4337866711430253E-14</v>
      </c>
      <c r="CA86" s="13">
        <f t="shared" si="93"/>
        <v>7.3222115536967035E-13</v>
      </c>
      <c r="CB86" s="20">
        <f t="shared" si="64"/>
        <v>1.3525069634579169E-12</v>
      </c>
      <c r="CC86" s="59">
        <f t="shared" si="65"/>
        <v>293.33333333333468</v>
      </c>
      <c r="CD86" s="59">
        <f ca="1">AVERAGE(OFFSET($CC$3,0,0,'Données projet'!$E$12+1,1))-AVERAGE(OFFSET($H$3,0,0,'Données projet'!$E$12+1,1))</f>
        <v>288.82868507674738</v>
      </c>
      <c r="CE86" s="59">
        <f t="shared" si="94"/>
        <v>283.48738729114024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0.72133073567873773</v>
      </c>
      <c r="CM86" s="21">
        <f>EXP(-LN(2)/2)*CM85+(1-EXP(-LN(2)/2))/(LN(2)/2)*CG86*CJ86*VLOOKUP('Données projet'!$B$12,Paramètres!$A$1:$I$89,3,0)*0.475*44/12</f>
        <v>3.445618068336435E-8</v>
      </c>
      <c r="CN86" s="22">
        <f t="shared" si="66"/>
        <v>0.72133077013491842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1.7053025658242404E-13</v>
      </c>
      <c r="O87" s="13">
        <f>N87*VLOOKUP('Données projet'!$B$9,Paramètres!$A$1:$I$89,3,0)*VLOOKUP('Données projet'!$B$9,Paramètres!$A$1:$I$89,5,0)</f>
        <v>1.250327841262333E-13</v>
      </c>
      <c r="P87" s="13">
        <f t="shared" si="87"/>
        <v>1.8301318724634299E-12</v>
      </c>
      <c r="Q87" s="20">
        <f t="shared" si="54"/>
        <v>3.405245110226996E-12</v>
      </c>
      <c r="R87" s="59">
        <f t="shared" si="55"/>
        <v>293.33333333333672</v>
      </c>
      <c r="S87" s="59">
        <f ca="1">AVERAGE(OFFSET($R$3,0,0,'Données projet'!$E$9+1,1))-AVERAGE(OFFSET($H$3,0,0,'Données projet'!$E$9+1,1))</f>
        <v>193.60868637458515</v>
      </c>
      <c r="T87" s="59">
        <f t="shared" si="88"/>
        <v>272.97841038165217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-1.7053025658242404E-13</v>
      </c>
      <c r="AJ87" s="13">
        <f>AI87*VLOOKUP('Données projet'!$B$10,Paramètres!$A$1:$I$89,3,0)*VLOOKUP('Données projet'!$B$10,Paramètres!$A$1:$I$89,5,0)</f>
        <v>-1.3567387213697657E-13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238.56893947183841</v>
      </c>
      <c r="AO87" s="59">
        <f t="shared" si="90"/>
        <v>292.57799203101769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-1.0286385077051818E-13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277.20405719540543</v>
      </c>
      <c r="BJ87" s="59">
        <f t="shared" si="92"/>
        <v>231.36959598460686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projet'!$B$12,Paramètres!$A$1:$I$89,3,0)*VLOOKUP('Données projet'!$B$12,Paramètres!$A$1:$I$89,5,0)</f>
        <v>4.4337866711430253E-14</v>
      </c>
      <c r="CA87" s="13">
        <f t="shared" si="93"/>
        <v>7.3222115536967035E-13</v>
      </c>
      <c r="CB87" s="20">
        <f t="shared" si="64"/>
        <v>1.3525069634579169E-12</v>
      </c>
      <c r="CC87" s="59">
        <f t="shared" si="65"/>
        <v>293.33333333333468</v>
      </c>
      <c r="CD87" s="59">
        <f ca="1">AVERAGE(OFFSET($CC$3,0,0,'Données projet'!$E$12+1,1))-AVERAGE(OFFSET($H$3,0,0,'Données projet'!$E$12+1,1))</f>
        <v>288.82868507674738</v>
      </c>
      <c r="CE87" s="59">
        <f t="shared" si="94"/>
        <v>283.48738729114024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0.70160590877846785</v>
      </c>
      <c r="CM87" s="21">
        <f>EXP(-LN(2)/2)*CM86+(1-EXP(-LN(2)/2))/(LN(2)/2)*CG87*CJ87*VLOOKUP('Données projet'!$B$12,Paramètres!$A$1:$I$89,3,0)*0.475*44/12</f>
        <v>2.4364199014995861E-8</v>
      </c>
      <c r="CN87" s="22">
        <f t="shared" si="66"/>
        <v>0.70160593314266684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1.7053025658242404E-13</v>
      </c>
      <c r="O88" s="13">
        <f>N88*VLOOKUP('Données projet'!$B$9,Paramètres!$A$1:$I$89,3,0)*VLOOKUP('Données projet'!$B$9,Paramètres!$A$1:$I$89,5,0)</f>
        <v>1.250327841262333E-13</v>
      </c>
      <c r="P88" s="13">
        <f t="shared" si="87"/>
        <v>1.8301318724634299E-12</v>
      </c>
      <c r="Q88" s="20">
        <f t="shared" si="54"/>
        <v>3.405245110226996E-12</v>
      </c>
      <c r="R88" s="59">
        <f t="shared" si="55"/>
        <v>293.33333333333672</v>
      </c>
      <c r="S88" s="59">
        <f ca="1">AVERAGE(OFFSET($R$3,0,0,'Données projet'!$E$9+1,1))-AVERAGE(OFFSET($H$3,0,0,'Données projet'!$E$9+1,1))</f>
        <v>193.60868637458515</v>
      </c>
      <c r="T88" s="59">
        <f t="shared" si="88"/>
        <v>272.97841038165217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-1.7053025658242404E-13</v>
      </c>
      <c r="AJ88" s="13">
        <f>AI88*VLOOKUP('Données projet'!$B$10,Paramètres!$A$1:$I$89,3,0)*VLOOKUP('Données projet'!$B$10,Paramètres!$A$1:$I$89,5,0)</f>
        <v>-1.3567387213697657E-13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238.56893947183841</v>
      </c>
      <c r="AO88" s="59">
        <f t="shared" si="90"/>
        <v>292.57799203101769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-1.0286385077051818E-13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277.20405719540543</v>
      </c>
      <c r="BJ88" s="59">
        <f t="shared" si="92"/>
        <v>231.36959598460686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projet'!$B$12,Paramètres!$A$1:$I$89,3,0)*VLOOKUP('Données projet'!$B$12,Paramètres!$A$1:$I$89,5,0)</f>
        <v>4.4337866711430253E-14</v>
      </c>
      <c r="CA88" s="13">
        <f t="shared" si="93"/>
        <v>7.3222115536967035E-13</v>
      </c>
      <c r="CB88" s="20">
        <f t="shared" si="64"/>
        <v>1.3525069634579169E-12</v>
      </c>
      <c r="CC88" s="59">
        <f t="shared" si="65"/>
        <v>293.33333333333468</v>
      </c>
      <c r="CD88" s="59">
        <f ca="1">AVERAGE(OFFSET($CC$3,0,0,'Données projet'!$E$12+1,1))-AVERAGE(OFFSET($H$3,0,0,'Données projet'!$E$12+1,1))</f>
        <v>288.82868507674738</v>
      </c>
      <c r="CE88" s="59">
        <f t="shared" si="94"/>
        <v>283.48738729114024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0.68242045830706943</v>
      </c>
      <c r="CM88" s="21">
        <f>EXP(-LN(2)/2)*CM87+(1-EXP(-LN(2)/2))/(LN(2)/2)*CG88*CJ88*VLOOKUP('Données projet'!$B$12,Paramètres!$A$1:$I$89,3,0)*0.475*44/12</f>
        <v>1.7228090341682175E-8</v>
      </c>
      <c r="CN88" s="22">
        <f t="shared" si="66"/>
        <v>0.68242047553515972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1.7053025658242404E-13</v>
      </c>
      <c r="O89" s="13">
        <f>N89*VLOOKUP('Données projet'!$B$9,Paramètres!$A$1:$I$89,3,0)*VLOOKUP('Données projet'!$B$9,Paramètres!$A$1:$I$89,5,0)</f>
        <v>1.250327841262333E-13</v>
      </c>
      <c r="P89" s="13">
        <f t="shared" si="87"/>
        <v>1.8301318724634299E-12</v>
      </c>
      <c r="Q89" s="20">
        <f t="shared" si="54"/>
        <v>3.405245110226996E-12</v>
      </c>
      <c r="R89" s="59">
        <f t="shared" si="55"/>
        <v>293.33333333333672</v>
      </c>
      <c r="S89" s="59">
        <f ca="1">AVERAGE(OFFSET($R$3,0,0,'Données projet'!$E$9+1,1))-AVERAGE(OFFSET($H$3,0,0,'Données projet'!$E$9+1,1))</f>
        <v>193.60868637458515</v>
      </c>
      <c r="T89" s="59">
        <f t="shared" si="88"/>
        <v>272.97841038165217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-1.7053025658242404E-13</v>
      </c>
      <c r="AJ89" s="13">
        <f>AI89*VLOOKUP('Données projet'!$B$10,Paramètres!$A$1:$I$89,3,0)*VLOOKUP('Données projet'!$B$10,Paramètres!$A$1:$I$89,5,0)</f>
        <v>-1.3567387213697657E-13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238.56893947183841</v>
      </c>
      <c r="AO89" s="59">
        <f t="shared" si="90"/>
        <v>292.57799203101769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-1.0286385077051818E-13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277.20405719540543</v>
      </c>
      <c r="BJ89" s="59">
        <f t="shared" si="92"/>
        <v>231.36959598460686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projet'!$B$12,Paramètres!$A$1:$I$89,3,0)*VLOOKUP('Données projet'!$B$12,Paramètres!$A$1:$I$89,5,0)</f>
        <v>4.4337866711430253E-14</v>
      </c>
      <c r="CA89" s="13">
        <f t="shared" si="93"/>
        <v>7.3222115536967035E-13</v>
      </c>
      <c r="CB89" s="20">
        <f t="shared" si="64"/>
        <v>1.3525069634579169E-12</v>
      </c>
      <c r="CC89" s="59">
        <f t="shared" si="65"/>
        <v>293.33333333333468</v>
      </c>
      <c r="CD89" s="59">
        <f ca="1">AVERAGE(OFFSET($CC$3,0,0,'Données projet'!$E$12+1,1))-AVERAGE(OFFSET($H$3,0,0,'Données projet'!$E$12+1,1))</f>
        <v>288.82868507674738</v>
      </c>
      <c r="CE89" s="59">
        <f t="shared" si="94"/>
        <v>283.48738729114024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0.66375963498773038</v>
      </c>
      <c r="CM89" s="21">
        <f>EXP(-LN(2)/2)*CM88+(1-EXP(-LN(2)/2))/(LN(2)/2)*CG89*CJ89*VLOOKUP('Données projet'!$B$12,Paramètres!$A$1:$I$89,3,0)*0.475*44/12</f>
        <v>1.218209950749793E-8</v>
      </c>
      <c r="CN89" s="22">
        <f t="shared" si="66"/>
        <v>0.66375964716982994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1.7053025658242404E-13</v>
      </c>
      <c r="O90" s="13">
        <f>N90*VLOOKUP('Données projet'!$B$9,Paramètres!$A$1:$I$89,3,0)*VLOOKUP('Données projet'!$B$9,Paramètres!$A$1:$I$89,5,0)</f>
        <v>1.250327841262333E-13</v>
      </c>
      <c r="P90" s="13">
        <f t="shared" si="87"/>
        <v>1.8301318724634299E-12</v>
      </c>
      <c r="Q90" s="20">
        <f t="shared" si="54"/>
        <v>3.405245110226996E-12</v>
      </c>
      <c r="R90" s="59">
        <f t="shared" si="55"/>
        <v>293.33333333333672</v>
      </c>
      <c r="S90" s="59">
        <f ca="1">AVERAGE(OFFSET($R$3,0,0,'Données projet'!$E$9+1,1))-AVERAGE(OFFSET($H$3,0,0,'Données projet'!$E$9+1,1))</f>
        <v>193.60868637458515</v>
      </c>
      <c r="T90" s="59">
        <f t="shared" si="88"/>
        <v>272.97841038165217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-1.7053025658242404E-13</v>
      </c>
      <c r="AJ90" s="13">
        <f>AI90*VLOOKUP('Données projet'!$B$10,Paramètres!$A$1:$I$89,3,0)*VLOOKUP('Données projet'!$B$10,Paramètres!$A$1:$I$89,5,0)</f>
        <v>-1.3567387213697657E-13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238.56893947183841</v>
      </c>
      <c r="AO90" s="59">
        <f t="shared" si="90"/>
        <v>292.57799203101769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-1.0286385077051818E-13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277.20405719540543</v>
      </c>
      <c r="BJ90" s="59">
        <f t="shared" si="92"/>
        <v>231.36959598460686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projet'!$B$12,Paramètres!$A$1:$I$89,3,0)*VLOOKUP('Données projet'!$B$12,Paramètres!$A$1:$I$89,5,0)</f>
        <v>4.4337866711430253E-14</v>
      </c>
      <c r="CA90" s="13">
        <f t="shared" si="93"/>
        <v>7.3222115536967035E-13</v>
      </c>
      <c r="CB90" s="20">
        <f t="shared" si="64"/>
        <v>1.3525069634579169E-12</v>
      </c>
      <c r="CC90" s="59">
        <f t="shared" si="65"/>
        <v>293.33333333333468</v>
      </c>
      <c r="CD90" s="59">
        <f ca="1">AVERAGE(OFFSET($CC$3,0,0,'Données projet'!$E$12+1,1))-AVERAGE(OFFSET($H$3,0,0,'Données projet'!$E$12+1,1))</f>
        <v>288.82868507674738</v>
      </c>
      <c r="CE90" s="59">
        <f t="shared" si="94"/>
        <v>283.48738729114024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0.64560909286338874</v>
      </c>
      <c r="CM90" s="21">
        <f>EXP(-LN(2)/2)*CM89+(1-EXP(-LN(2)/2))/(LN(2)/2)*CG90*CJ90*VLOOKUP('Données projet'!$B$12,Paramètres!$A$1:$I$89,3,0)*0.475*44/12</f>
        <v>8.6140451708410874E-9</v>
      </c>
      <c r="CN90" s="22">
        <f t="shared" si="66"/>
        <v>0.64560910147743389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1.7053025658242404E-13</v>
      </c>
      <c r="O91" s="13">
        <f>N91*VLOOKUP('Données projet'!$B$9,Paramètres!$A$1:$I$89,3,0)*VLOOKUP('Données projet'!$B$9,Paramètres!$A$1:$I$89,5,0)</f>
        <v>1.250327841262333E-13</v>
      </c>
      <c r="P91" s="13">
        <f t="shared" si="87"/>
        <v>1.8301318724634299E-12</v>
      </c>
      <c r="Q91" s="20">
        <f t="shared" si="54"/>
        <v>3.405245110226996E-12</v>
      </c>
      <c r="R91" s="59">
        <f t="shared" si="55"/>
        <v>293.33333333333672</v>
      </c>
      <c r="S91" s="59">
        <f ca="1">AVERAGE(OFFSET($R$3,0,0,'Données projet'!$E$9+1,1))-AVERAGE(OFFSET($H$3,0,0,'Données projet'!$E$9+1,1))</f>
        <v>193.60868637458515</v>
      </c>
      <c r="T91" s="59">
        <f t="shared" si="88"/>
        <v>272.97841038165217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-1.7053025658242404E-13</v>
      </c>
      <c r="AJ91" s="13">
        <f>AI91*VLOOKUP('Données projet'!$B$10,Paramètres!$A$1:$I$89,3,0)*VLOOKUP('Données projet'!$B$10,Paramètres!$A$1:$I$89,5,0)</f>
        <v>-1.3567387213697657E-13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238.56893947183841</v>
      </c>
      <c r="AO91" s="59">
        <f t="shared" si="90"/>
        <v>292.57799203101769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-1.0286385077051818E-13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277.20405719540543</v>
      </c>
      <c r="BJ91" s="59">
        <f t="shared" si="92"/>
        <v>231.36959598460686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projet'!$B$12,Paramètres!$A$1:$I$89,3,0)*VLOOKUP('Données projet'!$B$12,Paramètres!$A$1:$I$89,5,0)</f>
        <v>4.4337866711430253E-14</v>
      </c>
      <c r="CA91" s="13">
        <f t="shared" si="93"/>
        <v>7.3222115536967035E-13</v>
      </c>
      <c r="CB91" s="20">
        <f t="shared" si="64"/>
        <v>1.3525069634579169E-12</v>
      </c>
      <c r="CC91" s="59">
        <f t="shared" si="65"/>
        <v>293.33333333333468</v>
      </c>
      <c r="CD91" s="59">
        <f ca="1">AVERAGE(OFFSET($CC$3,0,0,'Données projet'!$E$12+1,1))-AVERAGE(OFFSET($H$3,0,0,'Données projet'!$E$12+1,1))</f>
        <v>288.82868507674738</v>
      </c>
      <c r="CE91" s="59">
        <f t="shared" si="94"/>
        <v>283.48738729114024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0.62795487826793273</v>
      </c>
      <c r="CM91" s="21">
        <f>EXP(-LN(2)/2)*CM90+(1-EXP(-LN(2)/2))/(LN(2)/2)*CG91*CJ91*VLOOKUP('Données projet'!$B$12,Paramètres!$A$1:$I$89,3,0)*0.475*44/12</f>
        <v>6.0910497537489652E-9</v>
      </c>
      <c r="CN91" s="22">
        <f t="shared" si="66"/>
        <v>0.6279548843589825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1.7053025658242404E-13</v>
      </c>
      <c r="O92" s="13">
        <f>N92*VLOOKUP('Données projet'!$B$9,Paramètres!$A$1:$I$89,3,0)*VLOOKUP('Données projet'!$B$9,Paramètres!$A$1:$I$89,5,0)</f>
        <v>1.250327841262333E-13</v>
      </c>
      <c r="P92" s="13">
        <f t="shared" si="87"/>
        <v>1.8301318724634299E-12</v>
      </c>
      <c r="Q92" s="20">
        <f t="shared" si="54"/>
        <v>3.405245110226996E-12</v>
      </c>
      <c r="R92" s="59">
        <f t="shared" si="55"/>
        <v>293.33333333333672</v>
      </c>
      <c r="S92" s="59">
        <f ca="1">AVERAGE(OFFSET($R$3,0,0,'Données projet'!$E$9+1,1))-AVERAGE(OFFSET($H$3,0,0,'Données projet'!$E$9+1,1))</f>
        <v>193.60868637458515</v>
      </c>
      <c r="T92" s="59">
        <f t="shared" si="88"/>
        <v>272.97841038165217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-1.7053025658242404E-13</v>
      </c>
      <c r="AJ92" s="13">
        <f>AI92*VLOOKUP('Données projet'!$B$10,Paramètres!$A$1:$I$89,3,0)*VLOOKUP('Données projet'!$B$10,Paramètres!$A$1:$I$89,5,0)</f>
        <v>-1.3567387213697657E-13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238.56893947183841</v>
      </c>
      <c r="AO92" s="59">
        <f t="shared" si="90"/>
        <v>292.57799203101769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-1.0286385077051818E-13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277.20405719540543</v>
      </c>
      <c r="BJ92" s="59">
        <f t="shared" si="92"/>
        <v>231.36959598460686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projet'!$B$12,Paramètres!$A$1:$I$89,3,0)*VLOOKUP('Données projet'!$B$12,Paramètres!$A$1:$I$89,5,0)</f>
        <v>4.4337866711430253E-14</v>
      </c>
      <c r="CA92" s="13">
        <f t="shared" si="93"/>
        <v>7.3222115536967035E-13</v>
      </c>
      <c r="CB92" s="20">
        <f t="shared" si="64"/>
        <v>1.3525069634579169E-12</v>
      </c>
      <c r="CC92" s="59">
        <f t="shared" si="65"/>
        <v>293.33333333333468</v>
      </c>
      <c r="CD92" s="59">
        <f ca="1">AVERAGE(OFFSET($CC$3,0,0,'Données projet'!$E$12+1,1))-AVERAGE(OFFSET($H$3,0,0,'Données projet'!$E$12+1,1))</f>
        <v>288.82868507674738</v>
      </c>
      <c r="CE92" s="59">
        <f t="shared" si="94"/>
        <v>283.48738729114024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0.61078341909898426</v>
      </c>
      <c r="CM92" s="21">
        <f>EXP(-LN(2)/2)*CM91+(1-EXP(-LN(2)/2))/(LN(2)/2)*CG92*CJ92*VLOOKUP('Données projet'!$B$12,Paramètres!$A$1:$I$89,3,0)*0.475*44/12</f>
        <v>4.3070225854205437E-9</v>
      </c>
      <c r="CN92" s="22">
        <f t="shared" si="66"/>
        <v>0.61078342340600689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1.7053025658242404E-13</v>
      </c>
      <c r="O93" s="13">
        <f>N93*VLOOKUP('Données projet'!$B$9,Paramètres!$A$1:$I$89,3,0)*VLOOKUP('Données projet'!$B$9,Paramètres!$A$1:$I$89,5,0)</f>
        <v>1.250327841262333E-13</v>
      </c>
      <c r="P93" s="13">
        <f t="shared" si="87"/>
        <v>1.8301318724634299E-12</v>
      </c>
      <c r="Q93" s="20">
        <f t="shared" si="54"/>
        <v>3.405245110226996E-12</v>
      </c>
      <c r="R93" s="59">
        <f t="shared" si="55"/>
        <v>293.33333333333672</v>
      </c>
      <c r="S93" s="59">
        <f ca="1">AVERAGE(OFFSET($R$3,0,0,'Données projet'!$E$9+1,1))-AVERAGE(OFFSET($H$3,0,0,'Données projet'!$E$9+1,1))</f>
        <v>193.60868637458515</v>
      </c>
      <c r="T93" s="59">
        <f t="shared" si="88"/>
        <v>272.97841038165217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-1.7053025658242404E-13</v>
      </c>
      <c r="AJ93" s="13">
        <f>AI93*VLOOKUP('Données projet'!$B$10,Paramètres!$A$1:$I$89,3,0)*VLOOKUP('Données projet'!$B$10,Paramètres!$A$1:$I$89,5,0)</f>
        <v>-1.3567387213697657E-13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238.56893947183841</v>
      </c>
      <c r="AO93" s="59">
        <f t="shared" si="90"/>
        <v>292.57799203101769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-1.0286385077051818E-13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277.20405719540543</v>
      </c>
      <c r="BJ93" s="59">
        <f t="shared" si="92"/>
        <v>231.36959598460686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projet'!$B$12,Paramètres!$A$1:$I$89,3,0)*VLOOKUP('Données projet'!$B$12,Paramètres!$A$1:$I$89,5,0)</f>
        <v>4.4337866711430253E-14</v>
      </c>
      <c r="CA93" s="13">
        <f t="shared" si="93"/>
        <v>7.3222115536967035E-13</v>
      </c>
      <c r="CB93" s="20">
        <f t="shared" si="64"/>
        <v>1.3525069634579169E-12</v>
      </c>
      <c r="CC93" s="59">
        <f t="shared" si="65"/>
        <v>293.33333333333468</v>
      </c>
      <c r="CD93" s="59">
        <f ca="1">AVERAGE(OFFSET($CC$3,0,0,'Données projet'!$E$12+1,1))-AVERAGE(OFFSET($H$3,0,0,'Données projet'!$E$12+1,1))</f>
        <v>288.82868507674738</v>
      </c>
      <c r="CE93" s="59">
        <f t="shared" si="94"/>
        <v>283.48738729114024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0.59408151438401846</v>
      </c>
      <c r="CM93" s="21">
        <f>EXP(-LN(2)/2)*CM92+(1-EXP(-LN(2)/2))/(LN(2)/2)*CG93*CJ93*VLOOKUP('Données projet'!$B$12,Paramètres!$A$1:$I$89,3,0)*0.475*44/12</f>
        <v>3.0455248768744826E-9</v>
      </c>
      <c r="CN93" s="22">
        <f t="shared" si="66"/>
        <v>0.59408151742954329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1.7053025658242404E-13</v>
      </c>
      <c r="O94" s="13">
        <f>N94*VLOOKUP('Données projet'!$B$9,Paramètres!$A$1:$I$89,3,0)*VLOOKUP('Données projet'!$B$9,Paramètres!$A$1:$I$89,5,0)</f>
        <v>1.250327841262333E-13</v>
      </c>
      <c r="P94" s="13">
        <f t="shared" si="87"/>
        <v>1.8301318724634299E-12</v>
      </c>
      <c r="Q94" s="20">
        <f t="shared" si="54"/>
        <v>3.405245110226996E-12</v>
      </c>
      <c r="R94" s="59">
        <f t="shared" si="55"/>
        <v>293.33333333333672</v>
      </c>
      <c r="S94" s="59">
        <f ca="1">AVERAGE(OFFSET($R$3,0,0,'Données projet'!$E$9+1,1))-AVERAGE(OFFSET($H$3,0,0,'Données projet'!$E$9+1,1))</f>
        <v>193.60868637458515</v>
      </c>
      <c r="T94" s="59">
        <f t="shared" si="88"/>
        <v>272.97841038165217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-1.7053025658242404E-13</v>
      </c>
      <c r="AJ94" s="13">
        <f>AI94*VLOOKUP('Données projet'!$B$10,Paramètres!$A$1:$I$89,3,0)*VLOOKUP('Données projet'!$B$10,Paramètres!$A$1:$I$89,5,0)</f>
        <v>-1.3567387213697657E-13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238.56893947183841</v>
      </c>
      <c r="AO94" s="59">
        <f t="shared" si="90"/>
        <v>292.57799203101769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-1.0286385077051818E-13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277.20405719540543</v>
      </c>
      <c r="BJ94" s="59">
        <f t="shared" si="92"/>
        <v>231.36959598460686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projet'!$B$12,Paramètres!$A$1:$I$89,3,0)*VLOOKUP('Données projet'!$B$12,Paramètres!$A$1:$I$89,5,0)</f>
        <v>4.4337866711430253E-14</v>
      </c>
      <c r="CA94" s="13">
        <f t="shared" si="93"/>
        <v>7.3222115536967035E-13</v>
      </c>
      <c r="CB94" s="20">
        <f t="shared" si="64"/>
        <v>1.3525069634579169E-12</v>
      </c>
      <c r="CC94" s="59">
        <f t="shared" si="65"/>
        <v>293.33333333333468</v>
      </c>
      <c r="CD94" s="59">
        <f ca="1">AVERAGE(OFFSET($CC$3,0,0,'Données projet'!$E$12+1,1))-AVERAGE(OFFSET($H$3,0,0,'Données projet'!$E$12+1,1))</f>
        <v>288.82868507674738</v>
      </c>
      <c r="CE94" s="59">
        <f t="shared" si="94"/>
        <v>283.48738729114024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0.57783632413179842</v>
      </c>
      <c r="CM94" s="21">
        <f>EXP(-LN(2)/2)*CM93+(1-EXP(-LN(2)/2))/(LN(2)/2)*CG94*CJ94*VLOOKUP('Données projet'!$B$12,Paramètres!$A$1:$I$89,3,0)*0.475*44/12</f>
        <v>2.1535112927102719E-9</v>
      </c>
      <c r="CN94" s="22">
        <f t="shared" si="66"/>
        <v>0.57783632628530968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1.7053025658242404E-13</v>
      </c>
      <c r="O95" s="13">
        <f>N95*VLOOKUP('Données projet'!$B$9,Paramètres!$A$1:$I$89,3,0)*VLOOKUP('Données projet'!$B$9,Paramètres!$A$1:$I$89,5,0)</f>
        <v>1.250327841262333E-13</v>
      </c>
      <c r="P95" s="13">
        <f t="shared" si="87"/>
        <v>1.8301318724634299E-12</v>
      </c>
      <c r="Q95" s="20">
        <f t="shared" si="54"/>
        <v>3.405245110226996E-12</v>
      </c>
      <c r="R95" s="59">
        <f t="shared" si="55"/>
        <v>293.33333333333672</v>
      </c>
      <c r="S95" s="59">
        <f ca="1">AVERAGE(OFFSET($R$3,0,0,'Données projet'!$E$9+1,1))-AVERAGE(OFFSET($H$3,0,0,'Données projet'!$E$9+1,1))</f>
        <v>193.60868637458515</v>
      </c>
      <c r="T95" s="59">
        <f t="shared" si="88"/>
        <v>272.97841038165217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-1.7053025658242404E-13</v>
      </c>
      <c r="AJ95" s="13">
        <f>AI95*VLOOKUP('Données projet'!$B$10,Paramètres!$A$1:$I$89,3,0)*VLOOKUP('Données projet'!$B$10,Paramètres!$A$1:$I$89,5,0)</f>
        <v>-1.3567387213697657E-13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238.56893947183841</v>
      </c>
      <c r="AO95" s="59">
        <f t="shared" si="90"/>
        <v>292.57799203101769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-1.0286385077051818E-13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277.20405719540543</v>
      </c>
      <c r="BJ95" s="59">
        <f t="shared" si="92"/>
        <v>231.36959598460686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projet'!$B$12,Paramètres!$A$1:$I$89,3,0)*VLOOKUP('Données projet'!$B$12,Paramètres!$A$1:$I$89,5,0)</f>
        <v>4.4337866711430253E-14</v>
      </c>
      <c r="CA95" s="13">
        <f t="shared" si="93"/>
        <v>7.3222115536967035E-13</v>
      </c>
      <c r="CB95" s="20">
        <f t="shared" si="64"/>
        <v>1.3525069634579169E-12</v>
      </c>
      <c r="CC95" s="59">
        <f t="shared" si="65"/>
        <v>293.33333333333468</v>
      </c>
      <c r="CD95" s="59">
        <f ca="1">AVERAGE(OFFSET($CC$3,0,0,'Données projet'!$E$12+1,1))-AVERAGE(OFFSET($H$3,0,0,'Données projet'!$E$12+1,1))</f>
        <v>288.82868507674738</v>
      </c>
      <c r="CE95" s="59">
        <f t="shared" si="94"/>
        <v>283.48738729114024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0.56203535946132277</v>
      </c>
      <c r="CM95" s="21">
        <f>EXP(-LN(2)/2)*CM94+(1-EXP(-LN(2)/2))/(LN(2)/2)*CG95*CJ95*VLOOKUP('Données projet'!$B$12,Paramètres!$A$1:$I$89,3,0)*0.475*44/12</f>
        <v>1.5227624384372413E-9</v>
      </c>
      <c r="CN95" s="22">
        <f t="shared" si="66"/>
        <v>0.56203536098408524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1.7053025658242404E-13</v>
      </c>
      <c r="O96" s="13">
        <f>N96*VLOOKUP('Données projet'!$B$9,Paramètres!$A$1:$I$89,3,0)*VLOOKUP('Données projet'!$B$9,Paramètres!$A$1:$I$89,5,0)</f>
        <v>1.250327841262333E-13</v>
      </c>
      <c r="P96" s="13">
        <f t="shared" si="87"/>
        <v>1.8301318724634299E-12</v>
      </c>
      <c r="Q96" s="20">
        <f t="shared" si="54"/>
        <v>3.405245110226996E-12</v>
      </c>
      <c r="R96" s="59">
        <f t="shared" si="55"/>
        <v>293.33333333333672</v>
      </c>
      <c r="S96" s="59">
        <f ca="1">AVERAGE(OFFSET($R$3,0,0,'Données projet'!$E$9+1,1))-AVERAGE(OFFSET($H$3,0,0,'Données projet'!$E$9+1,1))</f>
        <v>193.60868637458515</v>
      </c>
      <c r="T96" s="59">
        <f t="shared" si="88"/>
        <v>272.97841038165217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-1.7053025658242404E-13</v>
      </c>
      <c r="AJ96" s="13">
        <f>AI96*VLOOKUP('Données projet'!$B$10,Paramètres!$A$1:$I$89,3,0)*VLOOKUP('Données projet'!$B$10,Paramètres!$A$1:$I$89,5,0)</f>
        <v>-1.3567387213697657E-13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238.56893947183841</v>
      </c>
      <c r="AO96" s="59">
        <f t="shared" si="90"/>
        <v>292.57799203101769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-1.0286385077051818E-13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277.20405719540543</v>
      </c>
      <c r="BJ96" s="59">
        <f t="shared" si="92"/>
        <v>231.36959598460686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projet'!$B$12,Paramètres!$A$1:$I$89,3,0)*VLOOKUP('Données projet'!$B$12,Paramètres!$A$1:$I$89,5,0)</f>
        <v>4.4337866711430253E-14</v>
      </c>
      <c r="CA96" s="13">
        <f t="shared" si="93"/>
        <v>7.3222115536967035E-13</v>
      </c>
      <c r="CB96" s="20">
        <f t="shared" si="64"/>
        <v>1.3525069634579169E-12</v>
      </c>
      <c r="CC96" s="59">
        <f t="shared" si="65"/>
        <v>293.33333333333468</v>
      </c>
      <c r="CD96" s="59">
        <f ca="1">AVERAGE(OFFSET($CC$3,0,0,'Données projet'!$E$12+1,1))-AVERAGE(OFFSET($H$3,0,0,'Données projet'!$E$12+1,1))</f>
        <v>288.82868507674738</v>
      </c>
      <c r="CE96" s="59">
        <f t="shared" si="94"/>
        <v>283.48738729114024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0.54666647300069793</v>
      </c>
      <c r="CM96" s="21">
        <f>EXP(-LN(2)/2)*CM95+(1-EXP(-LN(2)/2))/(LN(2)/2)*CG96*CJ96*VLOOKUP('Données projet'!$B$12,Paramètres!$A$1:$I$89,3,0)*0.475*44/12</f>
        <v>1.0767556463551359E-9</v>
      </c>
      <c r="CN96" s="22">
        <f t="shared" si="66"/>
        <v>0.54666647407745361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1.7053025658242404E-13</v>
      </c>
      <c r="O97" s="13">
        <f>N97*VLOOKUP('Données projet'!$B$9,Paramètres!$A$1:$I$89,3,0)*VLOOKUP('Données projet'!$B$9,Paramètres!$A$1:$I$89,5,0)</f>
        <v>1.250327841262333E-13</v>
      </c>
      <c r="P97" s="13">
        <f t="shared" si="87"/>
        <v>1.8301318724634299E-12</v>
      </c>
      <c r="Q97" s="20">
        <f t="shared" si="54"/>
        <v>3.405245110226996E-12</v>
      </c>
      <c r="R97" s="59">
        <f t="shared" si="55"/>
        <v>293.33333333333672</v>
      </c>
      <c r="S97" s="59">
        <f ca="1">AVERAGE(OFFSET($R$3,0,0,'Données projet'!$E$9+1,1))-AVERAGE(OFFSET($H$3,0,0,'Données projet'!$E$9+1,1))</f>
        <v>193.60868637458515</v>
      </c>
      <c r="T97" s="59">
        <f t="shared" si="88"/>
        <v>272.97841038165217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-1.7053025658242404E-13</v>
      </c>
      <c r="AJ97" s="13">
        <f>AI97*VLOOKUP('Données projet'!$B$10,Paramètres!$A$1:$I$89,3,0)*VLOOKUP('Données projet'!$B$10,Paramètres!$A$1:$I$89,5,0)</f>
        <v>-1.3567387213697657E-13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238.56893947183841</v>
      </c>
      <c r="AO97" s="59">
        <f t="shared" si="90"/>
        <v>292.57799203101769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-1.0286385077051818E-13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277.20405719540543</v>
      </c>
      <c r="BJ97" s="59">
        <f t="shared" si="92"/>
        <v>231.36959598460686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projet'!$B$12,Paramètres!$A$1:$I$89,3,0)*VLOOKUP('Données projet'!$B$12,Paramètres!$A$1:$I$89,5,0)</f>
        <v>4.4337866711430253E-14</v>
      </c>
      <c r="CA97" s="13">
        <f t="shared" si="93"/>
        <v>7.3222115536967035E-13</v>
      </c>
      <c r="CB97" s="20">
        <f t="shared" si="64"/>
        <v>1.3525069634579169E-12</v>
      </c>
      <c r="CC97" s="59">
        <f t="shared" si="65"/>
        <v>293.33333333333468</v>
      </c>
      <c r="CD97" s="59">
        <f ca="1">AVERAGE(OFFSET($CC$3,0,0,'Données projet'!$E$12+1,1))-AVERAGE(OFFSET($H$3,0,0,'Données projet'!$E$12+1,1))</f>
        <v>288.82868507674738</v>
      </c>
      <c r="CE97" s="59">
        <f t="shared" si="94"/>
        <v>283.48738729114024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0.5317178495485535</v>
      </c>
      <c r="CM97" s="21">
        <f>EXP(-LN(2)/2)*CM96+(1-EXP(-LN(2)/2))/(LN(2)/2)*CG97*CJ97*VLOOKUP('Données projet'!$B$12,Paramètres!$A$1:$I$89,3,0)*0.475*44/12</f>
        <v>7.6138121921862065E-10</v>
      </c>
      <c r="CN97" s="22">
        <f t="shared" si="66"/>
        <v>0.53171785030993468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1.7053025658242404E-13</v>
      </c>
      <c r="O98" s="13">
        <f>N98*VLOOKUP('Données projet'!$B$9,Paramètres!$A$1:$I$89,3,0)*VLOOKUP('Données projet'!$B$9,Paramètres!$A$1:$I$89,5,0)</f>
        <v>1.250327841262333E-13</v>
      </c>
      <c r="P98" s="13">
        <f t="shared" si="87"/>
        <v>1.8301318724634299E-12</v>
      </c>
      <c r="Q98" s="20">
        <f t="shared" si="54"/>
        <v>3.405245110226996E-12</v>
      </c>
      <c r="R98" s="59">
        <f t="shared" si="55"/>
        <v>293.33333333333672</v>
      </c>
      <c r="S98" s="59">
        <f ca="1">AVERAGE(OFFSET($R$3,0,0,'Données projet'!$E$9+1,1))-AVERAGE(OFFSET($H$3,0,0,'Données projet'!$E$9+1,1))</f>
        <v>193.60868637458515</v>
      </c>
      <c r="T98" s="59">
        <f t="shared" si="88"/>
        <v>272.97841038165217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-1.7053025658242404E-13</v>
      </c>
      <c r="AJ98" s="13">
        <f>AI98*VLOOKUP('Données projet'!$B$10,Paramètres!$A$1:$I$89,3,0)*VLOOKUP('Données projet'!$B$10,Paramètres!$A$1:$I$89,5,0)</f>
        <v>-1.3567387213697657E-13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238.56893947183841</v>
      </c>
      <c r="AO98" s="59">
        <f t="shared" si="90"/>
        <v>292.57799203101769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-1.0286385077051818E-13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277.20405719540543</v>
      </c>
      <c r="BJ98" s="59">
        <f t="shared" si="92"/>
        <v>231.36959598460686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projet'!$B$12,Paramètres!$A$1:$I$89,3,0)*VLOOKUP('Données projet'!$B$12,Paramètres!$A$1:$I$89,5,0)</f>
        <v>4.4337866711430253E-14</v>
      </c>
      <c r="CA98" s="13">
        <f t="shared" si="93"/>
        <v>7.3222115536967035E-13</v>
      </c>
      <c r="CB98" s="20">
        <f t="shared" si="64"/>
        <v>1.3525069634579169E-12</v>
      </c>
      <c r="CC98" s="59">
        <f t="shared" si="65"/>
        <v>293.33333333333468</v>
      </c>
      <c r="CD98" s="59">
        <f ca="1">AVERAGE(OFFSET($CC$3,0,0,'Données projet'!$E$12+1,1))-AVERAGE(OFFSET($H$3,0,0,'Données projet'!$E$12+1,1))</f>
        <v>288.82868507674738</v>
      </c>
      <c r="CE98" s="59">
        <f t="shared" si="94"/>
        <v>283.48738729114024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0.5171779969908219</v>
      </c>
      <c r="CM98" s="21">
        <f>EXP(-LN(2)/2)*CM97+(1-EXP(-LN(2)/2))/(LN(2)/2)*CG98*CJ98*VLOOKUP('Données projet'!$B$12,Paramètres!$A$1:$I$89,3,0)*0.475*44/12</f>
        <v>5.3837782317756796E-10</v>
      </c>
      <c r="CN98" s="22">
        <f t="shared" si="66"/>
        <v>0.51717799752919968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1.7053025658242404E-13</v>
      </c>
      <c r="O99" s="13">
        <f>N99*VLOOKUP('Données projet'!$B$9,Paramètres!$A$1:$I$89,3,0)*VLOOKUP('Données projet'!$B$9,Paramètres!$A$1:$I$89,5,0)</f>
        <v>1.250327841262333E-13</v>
      </c>
      <c r="P99" s="13">
        <f t="shared" si="87"/>
        <v>1.8301318724634299E-12</v>
      </c>
      <c r="Q99" s="20">
        <f t="shared" ref="Q99:Q130" si="107">(O99+P99)*0.475*44/12</f>
        <v>3.405245110226996E-12</v>
      </c>
      <c r="R99" s="59">
        <f t="shared" si="55"/>
        <v>293.33333333333672</v>
      </c>
      <c r="S99" s="59">
        <f ca="1">AVERAGE(OFFSET($R$3,0,0,'Données projet'!$E$9+1,1))-AVERAGE(OFFSET($H$3,0,0,'Données projet'!$E$9+1,1))</f>
        <v>193.60868637458515</v>
      </c>
      <c r="T99" s="59">
        <f t="shared" si="88"/>
        <v>272.97841038165217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-1.7053025658242404E-13</v>
      </c>
      <c r="AJ99" s="13">
        <f>AI99*VLOOKUP('Données projet'!$B$10,Paramètres!$A$1:$I$89,3,0)*VLOOKUP('Données projet'!$B$10,Paramètres!$A$1:$I$89,5,0)</f>
        <v>-1.3567387213697657E-13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238.56893947183841</v>
      </c>
      <c r="AO99" s="59">
        <f t="shared" si="90"/>
        <v>292.57799203101769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-1.0286385077051818E-13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277.20405719540543</v>
      </c>
      <c r="BJ99" s="59">
        <f t="shared" si="92"/>
        <v>231.36959598460686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projet'!$B$12,Paramètres!$A$1:$I$89,3,0)*VLOOKUP('Données projet'!$B$12,Paramètres!$A$1:$I$89,5,0)</f>
        <v>4.4337866711430253E-14</v>
      </c>
      <c r="CA99" s="13">
        <f t="shared" si="93"/>
        <v>7.3222115536967035E-13</v>
      </c>
      <c r="CB99" s="20">
        <f t="shared" si="64"/>
        <v>1.3525069634579169E-12</v>
      </c>
      <c r="CC99" s="59">
        <f t="shared" si="65"/>
        <v>293.33333333333468</v>
      </c>
      <c r="CD99" s="59">
        <f ca="1">AVERAGE(OFFSET($CC$3,0,0,'Données projet'!$E$12+1,1))-AVERAGE(OFFSET($H$3,0,0,'Données projet'!$E$12+1,1))</f>
        <v>288.82868507674738</v>
      </c>
      <c r="CE99" s="59">
        <f t="shared" si="94"/>
        <v>283.48738729114024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0.50303573746589902</v>
      </c>
      <c r="CM99" s="21">
        <f>EXP(-LN(2)/2)*CM98+(1-EXP(-LN(2)/2))/(LN(2)/2)*CG99*CJ99*VLOOKUP('Données projet'!$B$12,Paramètres!$A$1:$I$89,3,0)*0.475*44/12</f>
        <v>3.8069060960931033E-10</v>
      </c>
      <c r="CN99" s="22">
        <f t="shared" si="66"/>
        <v>0.50303573784658961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1.7053025658242404E-13</v>
      </c>
      <c r="O100" s="13">
        <f>N100*VLOOKUP('Données projet'!$B$9,Paramètres!$A$1:$I$89,3,0)*VLOOKUP('Données projet'!$B$9,Paramètres!$A$1:$I$89,5,0)</f>
        <v>1.250327841262333E-13</v>
      </c>
      <c r="P100" s="13">
        <f t="shared" si="87"/>
        <v>1.8301318724634299E-12</v>
      </c>
      <c r="Q100" s="20">
        <f t="shared" si="107"/>
        <v>3.405245110226996E-12</v>
      </c>
      <c r="R100" s="59">
        <f t="shared" si="55"/>
        <v>293.33333333333672</v>
      </c>
      <c r="S100" s="59">
        <f ca="1">AVERAGE(OFFSET($R$3,0,0,'Données projet'!$E$9+1,1))-AVERAGE(OFFSET($H$3,0,0,'Données projet'!$E$9+1,1))</f>
        <v>193.60868637458515</v>
      </c>
      <c r="T100" s="59">
        <f t="shared" si="88"/>
        <v>272.97841038165217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-1.7053025658242404E-13</v>
      </c>
      <c r="AJ100" s="13">
        <f>AI100*VLOOKUP('Données projet'!$B$10,Paramètres!$A$1:$I$89,3,0)*VLOOKUP('Données projet'!$B$10,Paramètres!$A$1:$I$89,5,0)</f>
        <v>-1.3567387213697657E-13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238.56893947183841</v>
      </c>
      <c r="AO100" s="59">
        <f t="shared" si="90"/>
        <v>292.57799203101769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-1.0286385077051818E-13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277.20405719540543</v>
      </c>
      <c r="BJ100" s="59">
        <f t="shared" si="92"/>
        <v>231.36959598460686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projet'!$B$12,Paramètres!$A$1:$I$89,3,0)*VLOOKUP('Données projet'!$B$12,Paramètres!$A$1:$I$89,5,0)</f>
        <v>4.4337866711430253E-14</v>
      </c>
      <c r="CA100" s="13">
        <f t="shared" si="93"/>
        <v>7.3222115536967035E-13</v>
      </c>
      <c r="CB100" s="20">
        <f t="shared" si="64"/>
        <v>1.3525069634579169E-12</v>
      </c>
      <c r="CC100" s="59">
        <f t="shared" si="65"/>
        <v>293.33333333333468</v>
      </c>
      <c r="CD100" s="59">
        <f ca="1">AVERAGE(OFFSET($CC$3,0,0,'Données projet'!$E$12+1,1))-AVERAGE(OFFSET($H$3,0,0,'Données projet'!$E$12+1,1))</f>
        <v>288.82868507674738</v>
      </c>
      <c r="CE100" s="59">
        <f t="shared" si="94"/>
        <v>283.48738729114024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0.48928019877139428</v>
      </c>
      <c r="CM100" s="21">
        <f>EXP(-LN(2)/2)*CM99+(1-EXP(-LN(2)/2))/(LN(2)/2)*CG100*CJ100*VLOOKUP('Données projet'!$B$12,Paramètres!$A$1:$I$89,3,0)*0.475*44/12</f>
        <v>2.6918891158878398E-10</v>
      </c>
      <c r="CN100" s="22">
        <f t="shared" si="66"/>
        <v>0.48928019904058317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1.7053025658242404E-13</v>
      </c>
      <c r="O101" s="13">
        <f>N101*VLOOKUP('Données projet'!$B$9,Paramètres!$A$1:$I$89,3,0)*VLOOKUP('Données projet'!$B$9,Paramètres!$A$1:$I$89,5,0)</f>
        <v>1.250327841262333E-13</v>
      </c>
      <c r="P101" s="13">
        <f t="shared" si="87"/>
        <v>1.8301318724634299E-12</v>
      </c>
      <c r="Q101" s="20">
        <f t="shared" si="107"/>
        <v>3.405245110226996E-12</v>
      </c>
      <c r="R101" s="59">
        <f t="shared" si="55"/>
        <v>293.33333333333672</v>
      </c>
      <c r="S101" s="59">
        <f ca="1">AVERAGE(OFFSET($R$3,0,0,'Données projet'!$E$9+1,1))-AVERAGE(OFFSET($H$3,0,0,'Données projet'!$E$9+1,1))</f>
        <v>193.60868637458515</v>
      </c>
      <c r="T101" s="59">
        <f t="shared" si="88"/>
        <v>272.97841038165217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-1.7053025658242404E-13</v>
      </c>
      <c r="AJ101" s="13">
        <f>AI101*VLOOKUP('Données projet'!$B$10,Paramètres!$A$1:$I$89,3,0)*VLOOKUP('Données projet'!$B$10,Paramètres!$A$1:$I$89,5,0)</f>
        <v>-1.3567387213697657E-13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238.56893947183841</v>
      </c>
      <c r="AO101" s="59">
        <f t="shared" si="90"/>
        <v>292.57799203101769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-1.0286385077051818E-13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277.20405719540543</v>
      </c>
      <c r="BJ101" s="59">
        <f t="shared" si="92"/>
        <v>231.36959598460686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projet'!$B$12,Paramètres!$A$1:$I$89,3,0)*VLOOKUP('Données projet'!$B$12,Paramètres!$A$1:$I$89,5,0)</f>
        <v>4.4337866711430253E-14</v>
      </c>
      <c r="CA101" s="13">
        <f t="shared" si="93"/>
        <v>7.3222115536967035E-13</v>
      </c>
      <c r="CB101" s="20">
        <f t="shared" si="64"/>
        <v>1.3525069634579169E-12</v>
      </c>
      <c r="CC101" s="59">
        <f t="shared" si="65"/>
        <v>293.33333333333468</v>
      </c>
      <c r="CD101" s="59">
        <f ca="1">AVERAGE(OFFSET($CC$3,0,0,'Données projet'!$E$12+1,1))-AVERAGE(OFFSET($H$3,0,0,'Données projet'!$E$12+1,1))</f>
        <v>288.82868507674738</v>
      </c>
      <c r="CE101" s="59">
        <f t="shared" si="94"/>
        <v>283.48738729114024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0.4759008060058631</v>
      </c>
      <c r="CM101" s="21">
        <f>EXP(-LN(2)/2)*CM100+(1-EXP(-LN(2)/2))/(LN(2)/2)*CG101*CJ101*VLOOKUP('Données projet'!$B$12,Paramètres!$A$1:$I$89,3,0)*0.475*44/12</f>
        <v>1.9034530480465516E-10</v>
      </c>
      <c r="CN101" s="22">
        <f t="shared" si="66"/>
        <v>0.47590080619620839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1.7053025658242404E-13</v>
      </c>
      <c r="O102" s="13">
        <f>N102*VLOOKUP('Données projet'!$B$9,Paramètres!$A$1:$I$89,3,0)*VLOOKUP('Données projet'!$B$9,Paramètres!$A$1:$I$89,5,0)</f>
        <v>1.250327841262333E-13</v>
      </c>
      <c r="P102" s="13">
        <f t="shared" si="87"/>
        <v>1.8301318724634299E-12</v>
      </c>
      <c r="Q102" s="20">
        <f t="shared" si="107"/>
        <v>3.405245110226996E-12</v>
      </c>
      <c r="R102" s="59">
        <f t="shared" si="55"/>
        <v>293.33333333333672</v>
      </c>
      <c r="S102" s="59">
        <f ca="1">AVERAGE(OFFSET($R$3,0,0,'Données projet'!$E$9+1,1))-AVERAGE(OFFSET($H$3,0,0,'Données projet'!$E$9+1,1))</f>
        <v>193.60868637458515</v>
      </c>
      <c r="T102" s="59">
        <f t="shared" si="88"/>
        <v>272.97841038165217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-1.7053025658242404E-13</v>
      </c>
      <c r="AJ102" s="13">
        <f>AI102*VLOOKUP('Données projet'!$B$10,Paramètres!$A$1:$I$89,3,0)*VLOOKUP('Données projet'!$B$10,Paramètres!$A$1:$I$89,5,0)</f>
        <v>-1.3567387213697657E-13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238.56893947183841</v>
      </c>
      <c r="AO102" s="59">
        <f t="shared" si="90"/>
        <v>292.57799203101769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-1.0286385077051818E-13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277.20405719540543</v>
      </c>
      <c r="BJ102" s="59">
        <f t="shared" si="92"/>
        <v>231.36959598460686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projet'!$B$12,Paramètres!$A$1:$I$89,3,0)*VLOOKUP('Données projet'!$B$12,Paramètres!$A$1:$I$89,5,0)</f>
        <v>4.4337866711430253E-14</v>
      </c>
      <c r="CA102" s="13">
        <f t="shared" si="93"/>
        <v>7.3222115536967035E-13</v>
      </c>
      <c r="CB102" s="20">
        <f t="shared" si="64"/>
        <v>1.3525069634579169E-12</v>
      </c>
      <c r="CC102" s="59">
        <f t="shared" si="65"/>
        <v>293.33333333333468</v>
      </c>
      <c r="CD102" s="59">
        <f ca="1">AVERAGE(OFFSET($CC$3,0,0,'Données projet'!$E$12+1,1))-AVERAGE(OFFSET($H$3,0,0,'Données projet'!$E$12+1,1))</f>
        <v>288.82868507674738</v>
      </c>
      <c r="CE102" s="59">
        <f t="shared" si="94"/>
        <v>283.48738729114024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0.46288727343909708</v>
      </c>
      <c r="CM102" s="21">
        <f>EXP(-LN(2)/2)*CM101+(1-EXP(-LN(2)/2))/(LN(2)/2)*CG102*CJ102*VLOOKUP('Données projet'!$B$12,Paramètres!$A$1:$I$89,3,0)*0.475*44/12</f>
        <v>1.3459445579439199E-10</v>
      </c>
      <c r="CN102" s="22">
        <f t="shared" si="66"/>
        <v>0.46288727357369153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1.7053025658242404E-13</v>
      </c>
      <c r="O103" s="13">
        <f>N103*VLOOKUP('Données projet'!$B$9,Paramètres!$A$1:$I$89,3,0)*VLOOKUP('Données projet'!$B$9,Paramètres!$A$1:$I$89,5,0)</f>
        <v>1.250327841262333E-13</v>
      </c>
      <c r="P103" s="13">
        <f t="shared" si="87"/>
        <v>1.8301318724634299E-12</v>
      </c>
      <c r="Q103" s="20">
        <f t="shared" si="107"/>
        <v>3.405245110226996E-12</v>
      </c>
      <c r="R103" s="59">
        <f t="shared" si="55"/>
        <v>293.33333333333672</v>
      </c>
      <c r="S103" s="59">
        <f ca="1">AVERAGE(OFFSET($R$3,0,0,'Données projet'!$E$9+1,1))-AVERAGE(OFFSET($H$3,0,0,'Données projet'!$E$9+1,1))</f>
        <v>193.60868637458515</v>
      </c>
      <c r="T103" s="59">
        <f t="shared" si="88"/>
        <v>272.97841038165217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-1.7053025658242404E-13</v>
      </c>
      <c r="AJ103" s="13">
        <f>AI103*VLOOKUP('Données projet'!$B$10,Paramètres!$A$1:$I$89,3,0)*VLOOKUP('Données projet'!$B$10,Paramètres!$A$1:$I$89,5,0)</f>
        <v>-1.3567387213697657E-13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238.56893947183841</v>
      </c>
      <c r="AO103" s="59">
        <f t="shared" si="90"/>
        <v>292.57799203101769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-1.0286385077051818E-13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277.20405719540543</v>
      </c>
      <c r="BJ103" s="59">
        <f t="shared" si="92"/>
        <v>231.36959598460686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projet'!$B$12,Paramètres!$A$1:$I$89,3,0)*VLOOKUP('Données projet'!$B$12,Paramètres!$A$1:$I$89,5,0)</f>
        <v>4.4337866711430253E-14</v>
      </c>
      <c r="CA103" s="13">
        <f t="shared" si="93"/>
        <v>7.3222115536967035E-13</v>
      </c>
      <c r="CB103" s="20">
        <f t="shared" si="64"/>
        <v>1.3525069634579169E-12</v>
      </c>
      <c r="CC103" s="59">
        <f t="shared" si="65"/>
        <v>293.33333333333468</v>
      </c>
      <c r="CD103" s="59">
        <f ca="1">AVERAGE(OFFSET($CC$3,0,0,'Données projet'!$E$12+1,1))-AVERAGE(OFFSET($H$3,0,0,'Données projet'!$E$12+1,1))</f>
        <v>288.82868507674738</v>
      </c>
      <c r="CE103" s="59">
        <f t="shared" si="94"/>
        <v>283.48738729114024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0.45022959660472123</v>
      </c>
      <c r="CM103" s="21">
        <f>EXP(-LN(2)/2)*CM102+(1-EXP(-LN(2)/2))/(LN(2)/2)*CG103*CJ103*VLOOKUP('Données projet'!$B$12,Paramètres!$A$1:$I$89,3,0)*0.475*44/12</f>
        <v>9.5172652402327582E-11</v>
      </c>
      <c r="CN103" s="22">
        <f t="shared" si="66"/>
        <v>0.45022959669989387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1.7053025658242404E-13</v>
      </c>
      <c r="O104" s="13">
        <f>N104*VLOOKUP('Données projet'!$B$9,Paramètres!$A$1:$I$89,3,0)*VLOOKUP('Données projet'!$B$9,Paramètres!$A$1:$I$89,5,0)</f>
        <v>1.250327841262333E-13</v>
      </c>
      <c r="P104" s="13">
        <f t="shared" si="87"/>
        <v>1.8301318724634299E-12</v>
      </c>
      <c r="Q104" s="20">
        <f t="shared" si="107"/>
        <v>3.405245110226996E-12</v>
      </c>
      <c r="R104" s="59">
        <f t="shared" si="55"/>
        <v>293.33333333333672</v>
      </c>
      <c r="S104" s="59">
        <f ca="1">AVERAGE(OFFSET($R$3,0,0,'Données projet'!$E$9+1,1))-AVERAGE(OFFSET($H$3,0,0,'Données projet'!$E$9+1,1))</f>
        <v>193.60868637458515</v>
      </c>
      <c r="T104" s="59">
        <f t="shared" si="88"/>
        <v>272.97841038165217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-1.7053025658242404E-13</v>
      </c>
      <c r="AJ104" s="13">
        <f>AI104*VLOOKUP('Données projet'!$B$10,Paramètres!$A$1:$I$89,3,0)*VLOOKUP('Données projet'!$B$10,Paramètres!$A$1:$I$89,5,0)</f>
        <v>-1.3567387213697657E-13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238.56893947183841</v>
      </c>
      <c r="AO104" s="59">
        <f t="shared" si="90"/>
        <v>292.57799203101769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-1.0286385077051818E-13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277.20405719540543</v>
      </c>
      <c r="BJ104" s="59">
        <f t="shared" si="92"/>
        <v>231.36959598460686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projet'!$B$12,Paramètres!$A$1:$I$89,3,0)*VLOOKUP('Données projet'!$B$12,Paramètres!$A$1:$I$89,5,0)</f>
        <v>4.4337866711430253E-14</v>
      </c>
      <c r="CA104" s="13">
        <f t="shared" si="93"/>
        <v>7.3222115536967035E-13</v>
      </c>
      <c r="CB104" s="20">
        <f t="shared" si="64"/>
        <v>1.3525069634579169E-12</v>
      </c>
      <c r="CC104" s="59">
        <f t="shared" si="65"/>
        <v>293.33333333333468</v>
      </c>
      <c r="CD104" s="59">
        <f ca="1">AVERAGE(OFFSET($CC$3,0,0,'Données projet'!$E$12+1,1))-AVERAGE(OFFSET($H$3,0,0,'Données projet'!$E$12+1,1))</f>
        <v>288.82868507674738</v>
      </c>
      <c r="CE104" s="59">
        <f t="shared" si="94"/>
        <v>283.48738729114024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0.43791804460901967</v>
      </c>
      <c r="CM104" s="21">
        <f>EXP(-LN(2)/2)*CM103+(1-EXP(-LN(2)/2))/(LN(2)/2)*CG104*CJ104*VLOOKUP('Données projet'!$B$12,Paramètres!$A$1:$I$89,3,0)*0.475*44/12</f>
        <v>6.7297227897195995E-11</v>
      </c>
      <c r="CN104" s="22">
        <f t="shared" si="66"/>
        <v>0.4379180446763169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1.7053025658242404E-13</v>
      </c>
      <c r="O105" s="13">
        <f>N105*VLOOKUP('Données projet'!$B$9,Paramètres!$A$1:$I$89,3,0)*VLOOKUP('Données projet'!$B$9,Paramètres!$A$1:$I$89,5,0)</f>
        <v>1.250327841262333E-13</v>
      </c>
      <c r="P105" s="13">
        <f t="shared" si="87"/>
        <v>1.8301318724634299E-12</v>
      </c>
      <c r="Q105" s="20">
        <f t="shared" si="107"/>
        <v>3.405245110226996E-12</v>
      </c>
      <c r="R105" s="59">
        <f t="shared" si="55"/>
        <v>293.33333333333672</v>
      </c>
      <c r="S105" s="59">
        <f ca="1">AVERAGE(OFFSET($R$3,0,0,'Données projet'!$E$9+1,1))-AVERAGE(OFFSET($H$3,0,0,'Données projet'!$E$9+1,1))</f>
        <v>193.60868637458515</v>
      </c>
      <c r="T105" s="59">
        <f t="shared" si="88"/>
        <v>272.97841038165217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-1.7053025658242404E-13</v>
      </c>
      <c r="AJ105" s="13">
        <f>AI105*VLOOKUP('Données projet'!$B$10,Paramètres!$A$1:$I$89,3,0)*VLOOKUP('Données projet'!$B$10,Paramètres!$A$1:$I$89,5,0)</f>
        <v>-1.3567387213697657E-13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238.56893947183841</v>
      </c>
      <c r="AO105" s="59">
        <f t="shared" si="90"/>
        <v>292.57799203101769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-1.0286385077051818E-13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277.20405719540543</v>
      </c>
      <c r="BJ105" s="59">
        <f t="shared" si="92"/>
        <v>231.36959598460686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projet'!$B$12,Paramètres!$A$1:$I$89,3,0)*VLOOKUP('Données projet'!$B$12,Paramètres!$A$1:$I$89,5,0)</f>
        <v>4.4337866711430253E-14</v>
      </c>
      <c r="CA105" s="13">
        <f t="shared" si="93"/>
        <v>7.3222115536967035E-13</v>
      </c>
      <c r="CB105" s="20">
        <f t="shared" si="64"/>
        <v>1.3525069634579169E-12</v>
      </c>
      <c r="CC105" s="59">
        <f t="shared" si="65"/>
        <v>293.33333333333468</v>
      </c>
      <c r="CD105" s="59">
        <f ca="1">AVERAGE(OFFSET($CC$3,0,0,'Données projet'!$E$12+1,1))-AVERAGE(OFFSET($H$3,0,0,'Données projet'!$E$12+1,1))</f>
        <v>288.82868507674738</v>
      </c>
      <c r="CE105" s="59">
        <f t="shared" si="94"/>
        <v>283.48738729114024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0.42594315265007693</v>
      </c>
      <c r="CM105" s="21">
        <f>EXP(-LN(2)/2)*CM104+(1-EXP(-LN(2)/2))/(LN(2)/2)*CG105*CJ105*VLOOKUP('Données projet'!$B$12,Paramètres!$A$1:$I$89,3,0)*0.475*44/12</f>
        <v>4.7586326201163791E-11</v>
      </c>
      <c r="CN105" s="22">
        <f t="shared" si="66"/>
        <v>0.42594315269766325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1.7053025658242404E-13</v>
      </c>
      <c r="O106" s="13">
        <f>N106*VLOOKUP('Données projet'!$B$9,Paramètres!$A$1:$I$89,3,0)*VLOOKUP('Données projet'!$B$9,Paramètres!$A$1:$I$89,5,0)</f>
        <v>1.250327841262333E-13</v>
      </c>
      <c r="P106" s="13">
        <f t="shared" si="87"/>
        <v>1.8301318724634299E-12</v>
      </c>
      <c r="Q106" s="20">
        <f t="shared" si="107"/>
        <v>3.405245110226996E-12</v>
      </c>
      <c r="R106" s="59">
        <f t="shared" si="55"/>
        <v>293.33333333333672</v>
      </c>
      <c r="S106" s="59">
        <f ca="1">AVERAGE(OFFSET($R$3,0,0,'Données projet'!$E$9+1,1))-AVERAGE(OFFSET($H$3,0,0,'Données projet'!$E$9+1,1))</f>
        <v>193.60868637458515</v>
      </c>
      <c r="T106" s="59">
        <f t="shared" si="88"/>
        <v>272.97841038165217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-1.7053025658242404E-13</v>
      </c>
      <c r="AJ106" s="13">
        <f>AI106*VLOOKUP('Données projet'!$B$10,Paramètres!$A$1:$I$89,3,0)*VLOOKUP('Données projet'!$B$10,Paramètres!$A$1:$I$89,5,0)</f>
        <v>-1.3567387213697657E-13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238.56893947183841</v>
      </c>
      <c r="AO106" s="59">
        <f t="shared" si="90"/>
        <v>292.57799203101769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-1.0286385077051818E-13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277.20405719540543</v>
      </c>
      <c r="BJ106" s="59">
        <f t="shared" si="92"/>
        <v>231.36959598460686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projet'!$B$12,Paramètres!$A$1:$I$89,3,0)*VLOOKUP('Données projet'!$B$12,Paramètres!$A$1:$I$89,5,0)</f>
        <v>4.4337866711430253E-14</v>
      </c>
      <c r="CA106" s="13">
        <f t="shared" si="93"/>
        <v>7.3222115536967035E-13</v>
      </c>
      <c r="CB106" s="20">
        <f t="shared" si="64"/>
        <v>1.3525069634579169E-12</v>
      </c>
      <c r="CC106" s="59">
        <f t="shared" si="65"/>
        <v>293.33333333333468</v>
      </c>
      <c r="CD106" s="59">
        <f ca="1">AVERAGE(OFFSET($CC$3,0,0,'Données projet'!$E$12+1,1))-AVERAGE(OFFSET($H$3,0,0,'Données projet'!$E$12+1,1))</f>
        <v>288.82868507674738</v>
      </c>
      <c r="CE106" s="59">
        <f t="shared" si="94"/>
        <v>283.48738729114024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0.41429571474148369</v>
      </c>
      <c r="CM106" s="21">
        <f>EXP(-LN(2)/2)*CM105+(1-EXP(-LN(2)/2))/(LN(2)/2)*CG106*CJ106*VLOOKUP('Données projet'!$B$12,Paramètres!$A$1:$I$89,3,0)*0.475*44/12</f>
        <v>3.3648613948597998E-11</v>
      </c>
      <c r="CN106" s="22">
        <f t="shared" si="66"/>
        <v>0.41429571477513233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1.7053025658242404E-13</v>
      </c>
      <c r="O107" s="13">
        <f>N107*VLOOKUP('Données projet'!$B$9,Paramètres!$A$1:$I$89,3,0)*VLOOKUP('Données projet'!$B$9,Paramètres!$A$1:$I$89,5,0)</f>
        <v>1.250327841262333E-13</v>
      </c>
      <c r="P107" s="13">
        <f t="shared" si="87"/>
        <v>1.8301318724634299E-12</v>
      </c>
      <c r="Q107" s="20">
        <f t="shared" si="107"/>
        <v>3.405245110226996E-12</v>
      </c>
      <c r="R107" s="59">
        <f t="shared" si="55"/>
        <v>293.33333333333672</v>
      </c>
      <c r="S107" s="59">
        <f ca="1">AVERAGE(OFFSET($R$3,0,0,'Données projet'!$E$9+1,1))-AVERAGE(OFFSET($H$3,0,0,'Données projet'!$E$9+1,1))</f>
        <v>193.60868637458515</v>
      </c>
      <c r="T107" s="59">
        <f t="shared" si="88"/>
        <v>272.97841038165217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-1.7053025658242404E-13</v>
      </c>
      <c r="AJ107" s="13">
        <f>AI107*VLOOKUP('Données projet'!$B$10,Paramètres!$A$1:$I$89,3,0)*VLOOKUP('Données projet'!$B$10,Paramètres!$A$1:$I$89,5,0)</f>
        <v>-1.3567387213697657E-13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238.56893947183841</v>
      </c>
      <c r="AO107" s="59">
        <f t="shared" si="90"/>
        <v>292.57799203101769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-1.0286385077051818E-13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277.20405719540543</v>
      </c>
      <c r="BJ107" s="59">
        <f t="shared" si="92"/>
        <v>231.36959598460686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4.4337866711430253E-14</v>
      </c>
      <c r="CA107" s="13">
        <f t="shared" si="93"/>
        <v>7.3222115536967035E-13</v>
      </c>
      <c r="CB107" s="20">
        <f t="shared" si="64"/>
        <v>1.3525069634579169E-12</v>
      </c>
      <c r="CC107" s="59">
        <f t="shared" si="65"/>
        <v>293.33333333333468</v>
      </c>
      <c r="CD107" s="59">
        <f ca="1">AVERAGE(OFFSET($CC$3,0,0,'Données projet'!$E$12+1,1))-AVERAGE(OFFSET($H$3,0,0,'Données projet'!$E$12+1,1))</f>
        <v>288.82868507674738</v>
      </c>
      <c r="CE107" s="59">
        <f t="shared" si="94"/>
        <v>283.48738729114024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0.40296677663501307</v>
      </c>
      <c r="CM107" s="21">
        <f>EXP(-LN(2)/2)*CM106+(1-EXP(-LN(2)/2))/(LN(2)/2)*CG107*CJ107*VLOOKUP('Données projet'!$B$12,Paramètres!$A$1:$I$89,3,0)*0.475*44/12</f>
        <v>2.3793163100581895E-11</v>
      </c>
      <c r="CN107" s="22">
        <f t="shared" si="66"/>
        <v>0.40296677665880626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1.7053025658242404E-13</v>
      </c>
      <c r="O108" s="13">
        <f>N108*VLOOKUP('Données projet'!$B$9,Paramètres!$A$1:$I$89,3,0)*VLOOKUP('Données projet'!$B$9,Paramètres!$A$1:$I$89,5,0)</f>
        <v>1.250327841262333E-13</v>
      </c>
      <c r="P108" s="13">
        <f t="shared" si="87"/>
        <v>1.8301318724634299E-12</v>
      </c>
      <c r="Q108" s="20">
        <f t="shared" si="107"/>
        <v>3.405245110226996E-12</v>
      </c>
      <c r="R108" s="59">
        <f t="shared" si="55"/>
        <v>293.33333333333672</v>
      </c>
      <c r="S108" s="59">
        <f ca="1">AVERAGE(OFFSET($R$3,0,0,'Données projet'!$E$9+1,1))-AVERAGE(OFFSET($H$3,0,0,'Données projet'!$E$9+1,1))</f>
        <v>193.60868637458515</v>
      </c>
      <c r="T108" s="59">
        <f t="shared" si="88"/>
        <v>272.97841038165217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-1.7053025658242404E-13</v>
      </c>
      <c r="AJ108" s="13">
        <f>AI108*VLOOKUP('Données projet'!$B$10,Paramètres!$A$1:$I$89,3,0)*VLOOKUP('Données projet'!$B$10,Paramètres!$A$1:$I$89,5,0)</f>
        <v>-1.3567387213697657E-13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238.56893947183841</v>
      </c>
      <c r="AO108" s="59">
        <f t="shared" si="90"/>
        <v>292.57799203101769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-1.0286385077051818E-13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277.20405719540543</v>
      </c>
      <c r="BJ108" s="59">
        <f t="shared" si="92"/>
        <v>231.36959598460686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4.4337866711430253E-14</v>
      </c>
      <c r="CA108" s="13">
        <f t="shared" si="93"/>
        <v>7.3222115536967035E-13</v>
      </c>
      <c r="CB108" s="20">
        <f t="shared" si="64"/>
        <v>1.3525069634579169E-12</v>
      </c>
      <c r="CC108" s="59">
        <f t="shared" si="65"/>
        <v>293.33333333333468</v>
      </c>
      <c r="CD108" s="59">
        <f ca="1">AVERAGE(OFFSET($CC$3,0,0,'Données projet'!$E$12+1,1))-AVERAGE(OFFSET($H$3,0,0,'Données projet'!$E$12+1,1))</f>
        <v>288.82868507674738</v>
      </c>
      <c r="CE108" s="59">
        <f t="shared" si="94"/>
        <v>283.48738729114024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0.39194762893682683</v>
      </c>
      <c r="CM108" s="21">
        <f>EXP(-LN(2)/2)*CM107+(1-EXP(-LN(2)/2))/(LN(2)/2)*CG108*CJ108*VLOOKUP('Données projet'!$B$12,Paramètres!$A$1:$I$89,3,0)*0.475*44/12</f>
        <v>1.6824306974298999E-11</v>
      </c>
      <c r="CN108" s="22">
        <f t="shared" si="66"/>
        <v>0.39194762895365115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1.7053025658242404E-13</v>
      </c>
      <c r="O109" s="13">
        <f>N109*VLOOKUP('Données projet'!$B$9,Paramètres!$A$1:$I$89,3,0)*VLOOKUP('Données projet'!$B$9,Paramètres!$A$1:$I$89,5,0)</f>
        <v>1.250327841262333E-13</v>
      </c>
      <c r="P109" s="13">
        <f t="shared" si="87"/>
        <v>1.8301318724634299E-12</v>
      </c>
      <c r="Q109" s="20">
        <f t="shared" si="107"/>
        <v>3.405245110226996E-12</v>
      </c>
      <c r="R109" s="59">
        <f t="shared" si="55"/>
        <v>293.33333333333672</v>
      </c>
      <c r="S109" s="59">
        <f ca="1">AVERAGE(OFFSET($R$3,0,0,'Données projet'!$E$9+1,1))-AVERAGE(OFFSET($H$3,0,0,'Données projet'!$E$9+1,1))</f>
        <v>193.60868637458515</v>
      </c>
      <c r="T109" s="59">
        <f t="shared" si="88"/>
        <v>272.97841038165217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-1.7053025658242404E-13</v>
      </c>
      <c r="AJ109" s="13">
        <f>AI109*VLOOKUP('Données projet'!$B$10,Paramètres!$A$1:$I$89,3,0)*VLOOKUP('Données projet'!$B$10,Paramètres!$A$1:$I$89,5,0)</f>
        <v>-1.3567387213697657E-13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238.56893947183841</v>
      </c>
      <c r="AO109" s="59">
        <f t="shared" si="90"/>
        <v>292.57799203101769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-1.0286385077051818E-13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277.20405719540543</v>
      </c>
      <c r="BJ109" s="59">
        <f t="shared" si="92"/>
        <v>231.36959598460686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4.4337866711430253E-14</v>
      </c>
      <c r="CA109" s="13">
        <f t="shared" si="93"/>
        <v>7.3222115536967035E-13</v>
      </c>
      <c r="CB109" s="20">
        <f t="shared" si="64"/>
        <v>1.3525069634579169E-12</v>
      </c>
      <c r="CC109" s="59">
        <f t="shared" si="65"/>
        <v>293.33333333333468</v>
      </c>
      <c r="CD109" s="59">
        <f ca="1">AVERAGE(OFFSET($CC$3,0,0,'Données projet'!$E$12+1,1))-AVERAGE(OFFSET($H$3,0,0,'Données projet'!$E$12+1,1))</f>
        <v>288.82868507674738</v>
      </c>
      <c r="CE109" s="59">
        <f t="shared" si="94"/>
        <v>283.48738729114024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0.38122980041191928</v>
      </c>
      <c r="CM109" s="21">
        <f>EXP(-LN(2)/2)*CM108+(1-EXP(-LN(2)/2))/(LN(2)/2)*CG109*CJ109*VLOOKUP('Données projet'!$B$12,Paramètres!$A$1:$I$89,3,0)*0.475*44/12</f>
        <v>1.1896581550290948E-11</v>
      </c>
      <c r="CN109" s="22">
        <f t="shared" si="66"/>
        <v>0.38122980042381588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1.7053025658242404E-13</v>
      </c>
      <c r="O110" s="13">
        <f>N110*VLOOKUP('Données projet'!$B$9,Paramètres!$A$1:$I$89,3,0)*VLOOKUP('Données projet'!$B$9,Paramètres!$A$1:$I$89,5,0)</f>
        <v>1.250327841262333E-13</v>
      </c>
      <c r="P110" s="13">
        <f t="shared" si="87"/>
        <v>1.8301318724634299E-12</v>
      </c>
      <c r="Q110" s="20">
        <f t="shared" si="107"/>
        <v>3.405245110226996E-12</v>
      </c>
      <c r="R110" s="59">
        <f t="shared" si="55"/>
        <v>293.33333333333672</v>
      </c>
      <c r="S110" s="59">
        <f ca="1">AVERAGE(OFFSET($R$3,0,0,'Données projet'!$E$9+1,1))-AVERAGE(OFFSET($H$3,0,0,'Données projet'!$E$9+1,1))</f>
        <v>193.60868637458515</v>
      </c>
      <c r="T110" s="59">
        <f t="shared" si="88"/>
        <v>272.97841038165217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-1.7053025658242404E-13</v>
      </c>
      <c r="AJ110" s="13">
        <f>AI110*VLOOKUP('Données projet'!$B$10,Paramètres!$A$1:$I$89,3,0)*VLOOKUP('Données projet'!$B$10,Paramètres!$A$1:$I$89,5,0)</f>
        <v>-1.3567387213697657E-13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238.56893947183841</v>
      </c>
      <c r="AO110" s="59">
        <f t="shared" si="90"/>
        <v>292.57799203101769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-1.0286385077051818E-13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277.20405719540543</v>
      </c>
      <c r="BJ110" s="59">
        <f t="shared" si="92"/>
        <v>231.36959598460686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4.4337866711430253E-14</v>
      </c>
      <c r="CA110" s="13">
        <f t="shared" si="93"/>
        <v>7.3222115536967035E-13</v>
      </c>
      <c r="CB110" s="20">
        <f t="shared" si="64"/>
        <v>1.3525069634579169E-12</v>
      </c>
      <c r="CC110" s="59">
        <f t="shared" si="65"/>
        <v>293.33333333333468</v>
      </c>
      <c r="CD110" s="59">
        <f ca="1">AVERAGE(OFFSET($CC$3,0,0,'Données projet'!$E$12+1,1))-AVERAGE(OFFSET($H$3,0,0,'Données projet'!$E$12+1,1))</f>
        <v>288.82868507674738</v>
      </c>
      <c r="CE110" s="59">
        <f t="shared" si="94"/>
        <v>283.48738729114024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0.37080505147165144</v>
      </c>
      <c r="CM110" s="21">
        <f>EXP(-LN(2)/2)*CM109+(1-EXP(-LN(2)/2))/(LN(2)/2)*CG110*CJ110*VLOOKUP('Données projet'!$B$12,Paramètres!$A$1:$I$89,3,0)*0.475*44/12</f>
        <v>8.4121534871494994E-12</v>
      </c>
      <c r="CN110" s="22">
        <f t="shared" si="66"/>
        <v>0.3708050514800636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1.7053025658242404E-13</v>
      </c>
      <c r="O111" s="13">
        <f>N111*VLOOKUP('Données projet'!$B$9,Paramètres!$A$1:$I$89,3,0)*VLOOKUP('Données projet'!$B$9,Paramètres!$A$1:$I$89,5,0)</f>
        <v>1.250327841262333E-13</v>
      </c>
      <c r="P111" s="13">
        <f t="shared" si="87"/>
        <v>1.8301318724634299E-12</v>
      </c>
      <c r="Q111" s="20">
        <f t="shared" si="107"/>
        <v>3.405245110226996E-12</v>
      </c>
      <c r="R111" s="59">
        <f t="shared" si="55"/>
        <v>293.33333333333672</v>
      </c>
      <c r="S111" s="59">
        <f ca="1">AVERAGE(OFFSET($R$3,0,0,'Données projet'!$E$9+1,1))-AVERAGE(OFFSET($H$3,0,0,'Données projet'!$E$9+1,1))</f>
        <v>193.60868637458515</v>
      </c>
      <c r="T111" s="59">
        <f t="shared" si="88"/>
        <v>272.97841038165217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-1.7053025658242404E-13</v>
      </c>
      <c r="AJ111" s="13">
        <f>AI111*VLOOKUP('Données projet'!$B$10,Paramètres!$A$1:$I$89,3,0)*VLOOKUP('Données projet'!$B$10,Paramètres!$A$1:$I$89,5,0)</f>
        <v>-1.3567387213697657E-13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238.56893947183841</v>
      </c>
      <c r="AO111" s="59">
        <f t="shared" si="90"/>
        <v>292.57799203101769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-1.0286385077051818E-13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277.20405719540543</v>
      </c>
      <c r="BJ111" s="59">
        <f t="shared" si="92"/>
        <v>231.36959598460686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4.4337866711430253E-14</v>
      </c>
      <c r="CA111" s="13">
        <f t="shared" si="93"/>
        <v>7.3222115536967035E-13</v>
      </c>
      <c r="CB111" s="20">
        <f t="shared" si="64"/>
        <v>1.3525069634579169E-12</v>
      </c>
      <c r="CC111" s="59">
        <f t="shared" si="65"/>
        <v>293.33333333333468</v>
      </c>
      <c r="CD111" s="59">
        <f ca="1">AVERAGE(OFFSET($CC$3,0,0,'Données projet'!$E$12+1,1))-AVERAGE(OFFSET($H$3,0,0,'Données projet'!$E$12+1,1))</f>
        <v>288.82868507674738</v>
      </c>
      <c r="CE111" s="59">
        <f t="shared" si="94"/>
        <v>283.48738729114024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0.36066536783936898</v>
      </c>
      <c r="CM111" s="21">
        <f>EXP(-LN(2)/2)*CM110+(1-EXP(-LN(2)/2))/(LN(2)/2)*CG111*CJ111*VLOOKUP('Données projet'!$B$12,Paramètres!$A$1:$I$89,3,0)*0.475*44/12</f>
        <v>5.9482907751454739E-12</v>
      </c>
      <c r="CN111" s="22">
        <f t="shared" si="66"/>
        <v>0.36066536784531728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1.7053025658242404E-13</v>
      </c>
      <c r="O112" s="13">
        <f>N112*VLOOKUP('Données projet'!$B$9,Paramètres!$A$1:$I$89,3,0)*VLOOKUP('Données projet'!$B$9,Paramètres!$A$1:$I$89,5,0)</f>
        <v>1.250327841262333E-13</v>
      </c>
      <c r="P112" s="13">
        <f t="shared" si="87"/>
        <v>1.8301318724634299E-12</v>
      </c>
      <c r="Q112" s="20">
        <f t="shared" si="107"/>
        <v>3.405245110226996E-12</v>
      </c>
      <c r="R112" s="59">
        <f t="shared" si="55"/>
        <v>293.33333333333672</v>
      </c>
      <c r="S112" s="59">
        <f ca="1">AVERAGE(OFFSET($R$3,0,0,'Données projet'!$E$9+1,1))-AVERAGE(OFFSET($H$3,0,0,'Données projet'!$E$9+1,1))</f>
        <v>193.60868637458515</v>
      </c>
      <c r="T112" s="59">
        <f t="shared" si="88"/>
        <v>272.97841038165217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-1.7053025658242404E-13</v>
      </c>
      <c r="AJ112" s="13">
        <f>AI112*VLOOKUP('Données projet'!$B$10,Paramètres!$A$1:$I$89,3,0)*VLOOKUP('Données projet'!$B$10,Paramètres!$A$1:$I$89,5,0)</f>
        <v>-1.3567387213697657E-13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238.56893947183841</v>
      </c>
      <c r="AO112" s="59">
        <f t="shared" si="90"/>
        <v>292.57799203101769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-1.0286385077051818E-13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277.20405719540543</v>
      </c>
      <c r="BJ112" s="59">
        <f t="shared" si="92"/>
        <v>231.36959598460686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4.4337866711430253E-14</v>
      </c>
      <c r="CA112" s="13">
        <f t="shared" si="93"/>
        <v>7.3222115536967035E-13</v>
      </c>
      <c r="CB112" s="20">
        <f t="shared" si="64"/>
        <v>1.3525069634579169E-12</v>
      </c>
      <c r="CC112" s="59">
        <f t="shared" si="65"/>
        <v>293.33333333333468</v>
      </c>
      <c r="CD112" s="59">
        <f ca="1">AVERAGE(OFFSET($CC$3,0,0,'Données projet'!$E$12+1,1))-AVERAGE(OFFSET($H$3,0,0,'Données projet'!$E$12+1,1))</f>
        <v>288.82868507674738</v>
      </c>
      <c r="CE112" s="59">
        <f t="shared" si="94"/>
        <v>283.48738729114024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0.35080295438923403</v>
      </c>
      <c r="CM112" s="21">
        <f>EXP(-LN(2)/2)*CM111+(1-EXP(-LN(2)/2))/(LN(2)/2)*CG112*CJ112*VLOOKUP('Données projet'!$B$12,Paramètres!$A$1:$I$89,3,0)*0.475*44/12</f>
        <v>4.2060767435747497E-12</v>
      </c>
      <c r="CN112" s="22">
        <f t="shared" si="66"/>
        <v>0.35080295439344011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1.7053025658242404E-13</v>
      </c>
      <c r="O113" s="13">
        <f>N113*VLOOKUP('Données projet'!$B$9,Paramètres!$A$1:$I$89,3,0)*VLOOKUP('Données projet'!$B$9,Paramètres!$A$1:$I$89,5,0)</f>
        <v>1.250327841262333E-13</v>
      </c>
      <c r="P113" s="13">
        <f t="shared" si="87"/>
        <v>1.8301318724634299E-12</v>
      </c>
      <c r="Q113" s="20">
        <f t="shared" si="107"/>
        <v>3.405245110226996E-12</v>
      </c>
      <c r="R113" s="59">
        <f t="shared" si="55"/>
        <v>293.33333333333672</v>
      </c>
      <c r="S113" s="59">
        <f ca="1">AVERAGE(OFFSET($R$3,0,0,'Données projet'!$E$9+1,1))-AVERAGE(OFFSET($H$3,0,0,'Données projet'!$E$9+1,1))</f>
        <v>193.60868637458515</v>
      </c>
      <c r="T113" s="59">
        <f t="shared" si="88"/>
        <v>272.97841038165217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-1.7053025658242404E-13</v>
      </c>
      <c r="AJ113" s="13">
        <f>AI113*VLOOKUP('Données projet'!$B$10,Paramètres!$A$1:$I$89,3,0)*VLOOKUP('Données projet'!$B$10,Paramètres!$A$1:$I$89,5,0)</f>
        <v>-1.3567387213697657E-13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238.56893947183841</v>
      </c>
      <c r="AO113" s="59">
        <f t="shared" si="90"/>
        <v>292.57799203101769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-1.0286385077051818E-13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277.20405719540543</v>
      </c>
      <c r="BJ113" s="59">
        <f t="shared" si="92"/>
        <v>231.36959598460686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4.4337866711430253E-14</v>
      </c>
      <c r="CA113" s="13">
        <f t="shared" si="93"/>
        <v>7.3222115536967035E-13</v>
      </c>
      <c r="CB113" s="20">
        <f t="shared" si="64"/>
        <v>1.3525069634579169E-12</v>
      </c>
      <c r="CC113" s="59">
        <f t="shared" si="65"/>
        <v>293.33333333333468</v>
      </c>
      <c r="CD113" s="59">
        <f ca="1">AVERAGE(OFFSET($CC$3,0,0,'Données projet'!$E$12+1,1))-AVERAGE(OFFSET($H$3,0,0,'Données projet'!$E$12+1,1))</f>
        <v>288.82868507674738</v>
      </c>
      <c r="CE113" s="59">
        <f t="shared" si="94"/>
        <v>283.48738729114024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0.34121022915353483</v>
      </c>
      <c r="CM113" s="21">
        <f>EXP(-LN(2)/2)*CM112+(1-EXP(-LN(2)/2))/(LN(2)/2)*CG113*CJ113*VLOOKUP('Données projet'!$B$12,Paramètres!$A$1:$I$89,3,0)*0.475*44/12</f>
        <v>2.9741453875727369E-12</v>
      </c>
      <c r="CN113" s="22">
        <f t="shared" si="66"/>
        <v>0.34121022915650895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1.7053025658242404E-13</v>
      </c>
      <c r="O114" s="13">
        <f>N114*VLOOKUP('Données projet'!$B$9,Paramètres!$A$1:$I$89,3,0)*VLOOKUP('Données projet'!$B$9,Paramètres!$A$1:$I$89,5,0)</f>
        <v>1.250327841262333E-13</v>
      </c>
      <c r="P114" s="13">
        <f t="shared" si="87"/>
        <v>1.8301318724634299E-12</v>
      </c>
      <c r="Q114" s="20">
        <f t="shared" si="107"/>
        <v>3.405245110226996E-12</v>
      </c>
      <c r="R114" s="59">
        <f t="shared" si="55"/>
        <v>293.33333333333672</v>
      </c>
      <c r="S114" s="59">
        <f ca="1">AVERAGE(OFFSET($R$3,0,0,'Données projet'!$E$9+1,1))-AVERAGE(OFFSET($H$3,0,0,'Données projet'!$E$9+1,1))</f>
        <v>193.60868637458515</v>
      </c>
      <c r="T114" s="59">
        <f t="shared" si="88"/>
        <v>272.97841038165217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-1.7053025658242404E-13</v>
      </c>
      <c r="AJ114" s="13">
        <f>AI114*VLOOKUP('Données projet'!$B$10,Paramètres!$A$1:$I$89,3,0)*VLOOKUP('Données projet'!$B$10,Paramètres!$A$1:$I$89,5,0)</f>
        <v>-1.3567387213697657E-13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238.56893947183841</v>
      </c>
      <c r="AO114" s="59">
        <f t="shared" si="90"/>
        <v>292.57799203101769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-1.0286385077051818E-13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277.20405719540543</v>
      </c>
      <c r="BJ114" s="59">
        <f t="shared" si="92"/>
        <v>231.36959598460686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4.4337866711430253E-14</v>
      </c>
      <c r="CA114" s="13">
        <f t="shared" si="93"/>
        <v>7.3222115536967035E-13</v>
      </c>
      <c r="CB114" s="20">
        <f t="shared" si="64"/>
        <v>1.3525069634579169E-12</v>
      </c>
      <c r="CC114" s="59">
        <f t="shared" si="65"/>
        <v>293.33333333333468</v>
      </c>
      <c r="CD114" s="59">
        <f ca="1">AVERAGE(OFFSET($CC$3,0,0,'Données projet'!$E$12+1,1))-AVERAGE(OFFSET($H$3,0,0,'Données projet'!$E$12+1,1))</f>
        <v>288.82868507674738</v>
      </c>
      <c r="CE114" s="59">
        <f t="shared" si="94"/>
        <v>283.48738729114024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0.3318798174938653</v>
      </c>
      <c r="CM114" s="21">
        <f>EXP(-LN(2)/2)*CM113+(1-EXP(-LN(2)/2))/(LN(2)/2)*CG114*CJ114*VLOOKUP('Données projet'!$B$12,Paramètres!$A$1:$I$89,3,0)*0.475*44/12</f>
        <v>2.1030383717873749E-12</v>
      </c>
      <c r="CN114" s="22">
        <f t="shared" si="66"/>
        <v>0.33187981749596834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1.7053025658242404E-13</v>
      </c>
      <c r="O115" s="13">
        <f>N115*VLOOKUP('Données projet'!$B$9,Paramètres!$A$1:$I$89,3,0)*VLOOKUP('Données projet'!$B$9,Paramètres!$A$1:$I$89,5,0)</f>
        <v>1.250327841262333E-13</v>
      </c>
      <c r="P115" s="13">
        <f t="shared" si="87"/>
        <v>1.8301318724634299E-12</v>
      </c>
      <c r="Q115" s="20">
        <f t="shared" si="107"/>
        <v>3.405245110226996E-12</v>
      </c>
      <c r="R115" s="59">
        <f t="shared" si="55"/>
        <v>293.33333333333672</v>
      </c>
      <c r="S115" s="59">
        <f ca="1">AVERAGE(OFFSET($R$3,0,0,'Données projet'!$E$9+1,1))-AVERAGE(OFFSET($H$3,0,0,'Données projet'!$E$9+1,1))</f>
        <v>193.60868637458515</v>
      </c>
      <c r="T115" s="59">
        <f t="shared" si="88"/>
        <v>272.97841038165217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-1.7053025658242404E-13</v>
      </c>
      <c r="AJ115" s="13">
        <f>AI115*VLOOKUP('Données projet'!$B$10,Paramètres!$A$1:$I$89,3,0)*VLOOKUP('Données projet'!$B$10,Paramètres!$A$1:$I$89,5,0)</f>
        <v>-1.3567387213697657E-13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238.56893947183841</v>
      </c>
      <c r="AO115" s="59">
        <f t="shared" si="90"/>
        <v>292.57799203101769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-1.0286385077051818E-13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277.20405719540543</v>
      </c>
      <c r="BJ115" s="59">
        <f t="shared" si="92"/>
        <v>231.36959598460686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4.4337866711430253E-14</v>
      </c>
      <c r="CA115" s="13">
        <f t="shared" si="93"/>
        <v>7.3222115536967035E-13</v>
      </c>
      <c r="CB115" s="20">
        <f t="shared" si="64"/>
        <v>1.3525069634579169E-12</v>
      </c>
      <c r="CC115" s="59">
        <f t="shared" si="65"/>
        <v>293.33333333333468</v>
      </c>
      <c r="CD115" s="59">
        <f ca="1">AVERAGE(OFFSET($CC$3,0,0,'Données projet'!$E$12+1,1))-AVERAGE(OFFSET($H$3,0,0,'Données projet'!$E$12+1,1))</f>
        <v>288.82868507674738</v>
      </c>
      <c r="CE115" s="59">
        <f t="shared" si="94"/>
        <v>283.48738729114024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0.32280454643169448</v>
      </c>
      <c r="CM115" s="21">
        <f>EXP(-LN(2)/2)*CM114+(1-EXP(-LN(2)/2))/(LN(2)/2)*CG115*CJ115*VLOOKUP('Données projet'!$B$12,Paramètres!$A$1:$I$89,3,0)*0.475*44/12</f>
        <v>1.4870726937863685E-12</v>
      </c>
      <c r="CN115" s="22">
        <f t="shared" si="66"/>
        <v>0.32280454643318157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1.7053025658242404E-13</v>
      </c>
      <c r="O116" s="13">
        <f>N116*VLOOKUP('Données projet'!$B$9,Paramètres!$A$1:$I$89,3,0)*VLOOKUP('Données projet'!$B$9,Paramètres!$A$1:$I$89,5,0)</f>
        <v>1.250327841262333E-13</v>
      </c>
      <c r="P116" s="13">
        <f t="shared" si="87"/>
        <v>1.8301318724634299E-12</v>
      </c>
      <c r="Q116" s="20">
        <f t="shared" si="107"/>
        <v>3.405245110226996E-12</v>
      </c>
      <c r="R116" s="59">
        <f t="shared" si="55"/>
        <v>293.33333333333672</v>
      </c>
      <c r="S116" s="59">
        <f ca="1">AVERAGE(OFFSET($R$3,0,0,'Données projet'!$E$9+1,1))-AVERAGE(OFFSET($H$3,0,0,'Données projet'!$E$9+1,1))</f>
        <v>193.60868637458515</v>
      </c>
      <c r="T116" s="59">
        <f t="shared" si="88"/>
        <v>272.97841038165217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-1.7053025658242404E-13</v>
      </c>
      <c r="AJ116" s="13">
        <f>AI116*VLOOKUP('Données projet'!$B$10,Paramètres!$A$1:$I$89,3,0)*VLOOKUP('Données projet'!$B$10,Paramètres!$A$1:$I$89,5,0)</f>
        <v>-1.3567387213697657E-13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238.56893947183841</v>
      </c>
      <c r="AO116" s="59">
        <f t="shared" si="90"/>
        <v>292.57799203101769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-1.0286385077051818E-13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277.20405719540543</v>
      </c>
      <c r="BJ116" s="59">
        <f t="shared" si="92"/>
        <v>231.36959598460686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4.4337866711430253E-14</v>
      </c>
      <c r="CA116" s="13">
        <f t="shared" si="93"/>
        <v>7.3222115536967035E-13</v>
      </c>
      <c r="CB116" s="20">
        <f t="shared" si="64"/>
        <v>1.3525069634579169E-12</v>
      </c>
      <c r="CC116" s="59">
        <f t="shared" si="65"/>
        <v>293.33333333333468</v>
      </c>
      <c r="CD116" s="59">
        <f ca="1">AVERAGE(OFFSET($CC$3,0,0,'Données projet'!$E$12+1,1))-AVERAGE(OFFSET($H$3,0,0,'Données projet'!$E$12+1,1))</f>
        <v>288.82868507674738</v>
      </c>
      <c r="CE116" s="59">
        <f t="shared" si="94"/>
        <v>283.48738729114024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0.31397743913396647</v>
      </c>
      <c r="CM116" s="21">
        <f>EXP(-LN(2)/2)*CM115+(1-EXP(-LN(2)/2))/(LN(2)/2)*CG116*CJ116*VLOOKUP('Données projet'!$B$12,Paramètres!$A$1:$I$89,3,0)*0.475*44/12</f>
        <v>1.0515191858936874E-12</v>
      </c>
      <c r="CN116" s="22">
        <f t="shared" si="66"/>
        <v>0.31397743913501797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1.7053025658242404E-13</v>
      </c>
      <c r="O117" s="13">
        <f>N117*VLOOKUP('Données projet'!$B$9,Paramètres!$A$1:$I$89,3,0)*VLOOKUP('Données projet'!$B$9,Paramètres!$A$1:$I$89,5,0)</f>
        <v>1.250327841262333E-13</v>
      </c>
      <c r="P117" s="13">
        <f t="shared" si="87"/>
        <v>1.8301318724634299E-12</v>
      </c>
      <c r="Q117" s="20">
        <f t="shared" si="107"/>
        <v>3.405245110226996E-12</v>
      </c>
      <c r="R117" s="59">
        <f t="shared" si="55"/>
        <v>293.33333333333672</v>
      </c>
      <c r="S117" s="59">
        <f ca="1">AVERAGE(OFFSET($R$3,0,0,'Données projet'!$E$9+1,1))-AVERAGE(OFFSET($H$3,0,0,'Données projet'!$E$9+1,1))</f>
        <v>193.60868637458515</v>
      </c>
      <c r="T117" s="59">
        <f t="shared" si="88"/>
        <v>272.97841038165217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-1.7053025658242404E-13</v>
      </c>
      <c r="AJ117" s="13">
        <f>AI117*VLOOKUP('Données projet'!$B$10,Paramètres!$A$1:$I$89,3,0)*VLOOKUP('Données projet'!$B$10,Paramètres!$A$1:$I$89,5,0)</f>
        <v>-1.3567387213697657E-13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238.56893947183841</v>
      </c>
      <c r="AO117" s="59">
        <f t="shared" si="90"/>
        <v>292.57799203101769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-1.0286385077051818E-13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277.20405719540543</v>
      </c>
      <c r="BJ117" s="59">
        <f t="shared" si="92"/>
        <v>231.36959598460686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4.4337866711430253E-14</v>
      </c>
      <c r="CA117" s="13">
        <f t="shared" si="93"/>
        <v>7.3222115536967035E-13</v>
      </c>
      <c r="CB117" s="20">
        <f t="shared" si="64"/>
        <v>1.3525069634579169E-12</v>
      </c>
      <c r="CC117" s="59">
        <f t="shared" si="65"/>
        <v>293.33333333333468</v>
      </c>
      <c r="CD117" s="59">
        <f ca="1">AVERAGE(OFFSET($CC$3,0,0,'Données projet'!$E$12+1,1))-AVERAGE(OFFSET($H$3,0,0,'Données projet'!$E$12+1,1))</f>
        <v>288.82868507674738</v>
      </c>
      <c r="CE117" s="59">
        <f t="shared" si="94"/>
        <v>283.48738729114024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0.30539170954949224</v>
      </c>
      <c r="CM117" s="21">
        <f>EXP(-LN(2)/2)*CM116+(1-EXP(-LN(2)/2))/(LN(2)/2)*CG117*CJ117*VLOOKUP('Données projet'!$B$12,Paramètres!$A$1:$I$89,3,0)*0.475*44/12</f>
        <v>7.4353634689318423E-13</v>
      </c>
      <c r="CN117" s="22">
        <f t="shared" si="66"/>
        <v>0.30539170955023576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1.7053025658242404E-13</v>
      </c>
      <c r="O118" s="13">
        <f>N118*VLOOKUP('Données projet'!$B$9,Paramètres!$A$1:$I$89,3,0)*VLOOKUP('Données projet'!$B$9,Paramètres!$A$1:$I$89,5,0)</f>
        <v>1.250327841262333E-13</v>
      </c>
      <c r="P118" s="13">
        <f t="shared" si="87"/>
        <v>1.8301318724634299E-12</v>
      </c>
      <c r="Q118" s="20">
        <f t="shared" si="107"/>
        <v>3.405245110226996E-12</v>
      </c>
      <c r="R118" s="59">
        <f t="shared" si="55"/>
        <v>293.33333333333672</v>
      </c>
      <c r="S118" s="59">
        <f ca="1">AVERAGE(OFFSET($R$3,0,0,'Données projet'!$E$9+1,1))-AVERAGE(OFFSET($H$3,0,0,'Données projet'!$E$9+1,1))</f>
        <v>193.60868637458515</v>
      </c>
      <c r="T118" s="59">
        <f t="shared" si="88"/>
        <v>272.97841038165217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-1.7053025658242404E-13</v>
      </c>
      <c r="AJ118" s="13">
        <f>AI118*VLOOKUP('Données projet'!$B$10,Paramètres!$A$1:$I$89,3,0)*VLOOKUP('Données projet'!$B$10,Paramètres!$A$1:$I$89,5,0)</f>
        <v>-1.3567387213697657E-13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238.56893947183841</v>
      </c>
      <c r="AO118" s="59">
        <f t="shared" si="90"/>
        <v>292.57799203101769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-1.0286385077051818E-13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277.20405719540543</v>
      </c>
      <c r="BJ118" s="59">
        <f t="shared" si="92"/>
        <v>231.36959598460686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4.4337866711430253E-14</v>
      </c>
      <c r="CA118" s="13">
        <f t="shared" si="93"/>
        <v>7.3222115536967035E-13</v>
      </c>
      <c r="CB118" s="20">
        <f t="shared" si="64"/>
        <v>1.3525069634579169E-12</v>
      </c>
      <c r="CC118" s="59">
        <f t="shared" si="65"/>
        <v>293.33333333333468</v>
      </c>
      <c r="CD118" s="59">
        <f ca="1">AVERAGE(OFFSET($CC$3,0,0,'Données projet'!$E$12+1,1))-AVERAGE(OFFSET($H$3,0,0,'Données projet'!$E$12+1,1))</f>
        <v>288.82868507674738</v>
      </c>
      <c r="CE118" s="59">
        <f t="shared" si="94"/>
        <v>283.48738729114024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0.29704075719200934</v>
      </c>
      <c r="CM118" s="21">
        <f>EXP(-LN(2)/2)*CM117+(1-EXP(-LN(2)/2))/(LN(2)/2)*CG118*CJ118*VLOOKUP('Données projet'!$B$12,Paramètres!$A$1:$I$89,3,0)*0.475*44/12</f>
        <v>5.2575959294684371E-13</v>
      </c>
      <c r="CN118" s="22">
        <f t="shared" si="66"/>
        <v>0.29704075719253509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1.7053025658242404E-13</v>
      </c>
      <c r="O119" s="13">
        <f>N119*VLOOKUP('Données projet'!$B$9,Paramètres!$A$1:$I$89,3,0)*VLOOKUP('Données projet'!$B$9,Paramètres!$A$1:$I$89,5,0)</f>
        <v>1.250327841262333E-13</v>
      </c>
      <c r="P119" s="13">
        <f t="shared" si="87"/>
        <v>1.8301318724634299E-12</v>
      </c>
      <c r="Q119" s="20">
        <f t="shared" si="107"/>
        <v>3.405245110226996E-12</v>
      </c>
      <c r="R119" s="59">
        <f t="shared" si="55"/>
        <v>293.33333333333672</v>
      </c>
      <c r="S119" s="59">
        <f ca="1">AVERAGE(OFFSET($R$3,0,0,'Données projet'!$E$9+1,1))-AVERAGE(OFFSET($H$3,0,0,'Données projet'!$E$9+1,1))</f>
        <v>193.60868637458515</v>
      </c>
      <c r="T119" s="59">
        <f t="shared" si="88"/>
        <v>272.97841038165217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-1.7053025658242404E-13</v>
      </c>
      <c r="AJ119" s="13">
        <f>AI119*VLOOKUP('Données projet'!$B$10,Paramètres!$A$1:$I$89,3,0)*VLOOKUP('Données projet'!$B$10,Paramètres!$A$1:$I$89,5,0)</f>
        <v>-1.3567387213697657E-13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238.56893947183841</v>
      </c>
      <c r="AO119" s="59">
        <f t="shared" si="90"/>
        <v>292.57799203101769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-1.0286385077051818E-13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277.20405719540543</v>
      </c>
      <c r="BJ119" s="59">
        <f t="shared" si="92"/>
        <v>231.36959598460686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4.4337866711430253E-14</v>
      </c>
      <c r="CA119" s="13">
        <f t="shared" si="93"/>
        <v>7.3222115536967035E-13</v>
      </c>
      <c r="CB119" s="20">
        <f t="shared" si="64"/>
        <v>1.3525069634579169E-12</v>
      </c>
      <c r="CC119" s="59">
        <f t="shared" si="65"/>
        <v>293.33333333333468</v>
      </c>
      <c r="CD119" s="59">
        <f ca="1">AVERAGE(OFFSET($CC$3,0,0,'Données projet'!$E$12+1,1))-AVERAGE(OFFSET($H$3,0,0,'Données projet'!$E$12+1,1))</f>
        <v>288.82868507674738</v>
      </c>
      <c r="CE119" s="59">
        <f t="shared" si="94"/>
        <v>283.48738729114024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0.28891816206589932</v>
      </c>
      <c r="CM119" s="21">
        <f>EXP(-LN(2)/2)*CM118+(1-EXP(-LN(2)/2))/(LN(2)/2)*CG119*CJ119*VLOOKUP('Données projet'!$B$12,Paramètres!$A$1:$I$89,3,0)*0.475*44/12</f>
        <v>3.7176817344659212E-13</v>
      </c>
      <c r="CN119" s="22">
        <f t="shared" si="66"/>
        <v>0.28891816206627108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1.7053025658242404E-13</v>
      </c>
      <c r="O120" s="13">
        <f>N120*VLOOKUP('Données projet'!$B$9,Paramètres!$A$1:$I$89,3,0)*VLOOKUP('Données projet'!$B$9,Paramètres!$A$1:$I$89,5,0)</f>
        <v>1.250327841262333E-13</v>
      </c>
      <c r="P120" s="13">
        <f t="shared" si="87"/>
        <v>1.8301318724634299E-12</v>
      </c>
      <c r="Q120" s="20">
        <f t="shared" si="107"/>
        <v>3.405245110226996E-12</v>
      </c>
      <c r="R120" s="59">
        <f t="shared" si="55"/>
        <v>293.33333333333672</v>
      </c>
      <c r="S120" s="59">
        <f ca="1">AVERAGE(OFFSET($R$3,0,0,'Données projet'!$E$9+1,1))-AVERAGE(OFFSET($H$3,0,0,'Données projet'!$E$9+1,1))</f>
        <v>193.60868637458515</v>
      </c>
      <c r="T120" s="59">
        <f t="shared" si="88"/>
        <v>272.97841038165217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-1.7053025658242404E-13</v>
      </c>
      <c r="AJ120" s="13">
        <f>AI120*VLOOKUP('Données projet'!$B$10,Paramètres!$A$1:$I$89,3,0)*VLOOKUP('Données projet'!$B$10,Paramètres!$A$1:$I$89,5,0)</f>
        <v>-1.3567387213697657E-13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238.56893947183841</v>
      </c>
      <c r="AO120" s="59">
        <f t="shared" si="90"/>
        <v>292.57799203101769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-1.0286385077051818E-13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277.20405719540543</v>
      </c>
      <c r="BJ120" s="59">
        <f t="shared" si="92"/>
        <v>231.36959598460686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4.4337866711430253E-14</v>
      </c>
      <c r="CA120" s="13">
        <f t="shared" si="93"/>
        <v>7.3222115536967035E-13</v>
      </c>
      <c r="CB120" s="20">
        <f t="shared" si="64"/>
        <v>1.3525069634579169E-12</v>
      </c>
      <c r="CC120" s="59">
        <f t="shared" si="65"/>
        <v>293.33333333333468</v>
      </c>
      <c r="CD120" s="59">
        <f ca="1">AVERAGE(OFFSET($CC$3,0,0,'Données projet'!$E$12+1,1))-AVERAGE(OFFSET($H$3,0,0,'Données projet'!$E$12+1,1))</f>
        <v>288.82868507674738</v>
      </c>
      <c r="CE120" s="59">
        <f t="shared" si="94"/>
        <v>283.48738729114024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0.2810176797306615</v>
      </c>
      <c r="CM120" s="21">
        <f>EXP(-LN(2)/2)*CM119+(1-EXP(-LN(2)/2))/(LN(2)/2)*CG120*CJ120*VLOOKUP('Données projet'!$B$12,Paramètres!$A$1:$I$89,3,0)*0.475*44/12</f>
        <v>2.6287979647342186E-13</v>
      </c>
      <c r="CN120" s="22">
        <f t="shared" si="66"/>
        <v>0.2810176797309244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1.7053025658242404E-13</v>
      </c>
      <c r="O121" s="13">
        <f>N121*VLOOKUP('Données projet'!$B$9,Paramètres!$A$1:$I$89,3,0)*VLOOKUP('Données projet'!$B$9,Paramètres!$A$1:$I$89,5,0)</f>
        <v>1.250327841262333E-13</v>
      </c>
      <c r="P121" s="13">
        <f t="shared" si="87"/>
        <v>1.8301318724634299E-12</v>
      </c>
      <c r="Q121" s="20">
        <f t="shared" si="107"/>
        <v>3.405245110226996E-12</v>
      </c>
      <c r="R121" s="59">
        <f t="shared" si="55"/>
        <v>293.33333333333672</v>
      </c>
      <c r="S121" s="59">
        <f ca="1">AVERAGE(OFFSET($R$3,0,0,'Données projet'!$E$9+1,1))-AVERAGE(OFFSET($H$3,0,0,'Données projet'!$E$9+1,1))</f>
        <v>193.60868637458515</v>
      </c>
      <c r="T121" s="59">
        <f t="shared" si="88"/>
        <v>272.97841038165217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-1.7053025658242404E-13</v>
      </c>
      <c r="AJ121" s="13">
        <f>AI121*VLOOKUP('Données projet'!$B$10,Paramètres!$A$1:$I$89,3,0)*VLOOKUP('Données projet'!$B$10,Paramètres!$A$1:$I$89,5,0)</f>
        <v>-1.3567387213697657E-13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238.56893947183841</v>
      </c>
      <c r="AO121" s="59">
        <f t="shared" si="90"/>
        <v>292.57799203101769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-1.0286385077051818E-13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277.20405719540543</v>
      </c>
      <c r="BJ121" s="59">
        <f t="shared" si="92"/>
        <v>231.36959598460686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4.4337866711430253E-14</v>
      </c>
      <c r="CA121" s="13">
        <f t="shared" si="93"/>
        <v>7.3222115536967035E-13</v>
      </c>
      <c r="CB121" s="20">
        <f t="shared" si="64"/>
        <v>1.3525069634579169E-12</v>
      </c>
      <c r="CC121" s="59">
        <f t="shared" si="65"/>
        <v>293.33333333333468</v>
      </c>
      <c r="CD121" s="59">
        <f ca="1">AVERAGE(OFFSET($CC$3,0,0,'Données projet'!$E$12+1,1))-AVERAGE(OFFSET($H$3,0,0,'Données projet'!$E$12+1,1))</f>
        <v>288.82868507674738</v>
      </c>
      <c r="CE121" s="59">
        <f t="shared" si="94"/>
        <v>283.48738729114024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0.27333323650034907</v>
      </c>
      <c r="CM121" s="21">
        <f>EXP(-LN(2)/2)*CM120+(1-EXP(-LN(2)/2))/(LN(2)/2)*CG121*CJ121*VLOOKUP('Données projet'!$B$12,Paramètres!$A$1:$I$89,3,0)*0.475*44/12</f>
        <v>1.8588408672329606E-13</v>
      </c>
      <c r="CN121" s="22">
        <f t="shared" si="66"/>
        <v>0.27333323650053498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1.7053025658242404E-13</v>
      </c>
      <c r="O122" s="13">
        <f>N122*VLOOKUP('Données projet'!$B$9,Paramètres!$A$1:$I$89,3,0)*VLOOKUP('Données projet'!$B$9,Paramètres!$A$1:$I$89,5,0)</f>
        <v>1.250327841262333E-13</v>
      </c>
      <c r="P122" s="13">
        <f t="shared" si="87"/>
        <v>1.8301318724634299E-12</v>
      </c>
      <c r="Q122" s="20">
        <f t="shared" si="107"/>
        <v>3.405245110226996E-12</v>
      </c>
      <c r="R122" s="59">
        <f t="shared" si="55"/>
        <v>293.33333333333672</v>
      </c>
      <c r="S122" s="59">
        <f ca="1">AVERAGE(OFFSET($R$3,0,0,'Données projet'!$E$9+1,1))-AVERAGE(OFFSET($H$3,0,0,'Données projet'!$E$9+1,1))</f>
        <v>193.60868637458515</v>
      </c>
      <c r="T122" s="59">
        <f t="shared" si="88"/>
        <v>272.97841038165217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-1.7053025658242404E-13</v>
      </c>
      <c r="AJ122" s="13">
        <f>AI122*VLOOKUP('Données projet'!$B$10,Paramètres!$A$1:$I$89,3,0)*VLOOKUP('Données projet'!$B$10,Paramètres!$A$1:$I$89,5,0)</f>
        <v>-1.3567387213697657E-13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238.56893947183841</v>
      </c>
      <c r="AO122" s="59">
        <f t="shared" si="90"/>
        <v>292.57799203101769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-1.0286385077051818E-13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277.20405719540543</v>
      </c>
      <c r="BJ122" s="59">
        <f t="shared" si="92"/>
        <v>231.36959598460686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4.4337866711430253E-14</v>
      </c>
      <c r="CA122" s="13">
        <f t="shared" si="93"/>
        <v>7.3222115536967035E-13</v>
      </c>
      <c r="CB122" s="20">
        <f t="shared" si="64"/>
        <v>1.3525069634579169E-12</v>
      </c>
      <c r="CC122" s="59">
        <f t="shared" si="65"/>
        <v>293.33333333333468</v>
      </c>
      <c r="CD122" s="59">
        <f ca="1">AVERAGE(OFFSET($CC$3,0,0,'Données projet'!$E$12+1,1))-AVERAGE(OFFSET($H$3,0,0,'Données projet'!$E$12+1,1))</f>
        <v>288.82868507674738</v>
      </c>
      <c r="CE122" s="59">
        <f t="shared" si="94"/>
        <v>283.48738729114024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0.26585892477427681</v>
      </c>
      <c r="CM122" s="21">
        <f>EXP(-LN(2)/2)*CM121+(1-EXP(-LN(2)/2))/(LN(2)/2)*CG122*CJ122*VLOOKUP('Données projet'!$B$12,Paramètres!$A$1:$I$89,3,0)*0.475*44/12</f>
        <v>1.3143989823671093E-13</v>
      </c>
      <c r="CN122" s="22">
        <f t="shared" si="66"/>
        <v>0.26585892477440826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1.7053025658242404E-13</v>
      </c>
      <c r="O123" s="13">
        <f>N123*VLOOKUP('Données projet'!$B$9,Paramètres!$A$1:$I$89,3,0)*VLOOKUP('Données projet'!$B$9,Paramètres!$A$1:$I$89,5,0)</f>
        <v>1.250327841262333E-13</v>
      </c>
      <c r="P123" s="13">
        <f t="shared" si="87"/>
        <v>1.8301318724634299E-12</v>
      </c>
      <c r="Q123" s="20">
        <f t="shared" si="107"/>
        <v>3.405245110226996E-12</v>
      </c>
      <c r="R123" s="59">
        <f t="shared" si="55"/>
        <v>293.33333333333672</v>
      </c>
      <c r="S123" s="59">
        <f ca="1">AVERAGE(OFFSET($R$3,0,0,'Données projet'!$E$9+1,1))-AVERAGE(OFFSET($H$3,0,0,'Données projet'!$E$9+1,1))</f>
        <v>193.60868637458515</v>
      </c>
      <c r="T123" s="59">
        <f t="shared" si="88"/>
        <v>272.97841038165217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-1.7053025658242404E-13</v>
      </c>
      <c r="AJ123" s="13">
        <f>AI123*VLOOKUP('Données projet'!$B$10,Paramètres!$A$1:$I$89,3,0)*VLOOKUP('Données projet'!$B$10,Paramètres!$A$1:$I$89,5,0)</f>
        <v>-1.3567387213697657E-13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238.56893947183841</v>
      </c>
      <c r="AO123" s="59">
        <f t="shared" si="90"/>
        <v>292.57799203101769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-1.0286385077051818E-13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277.20405719540543</v>
      </c>
      <c r="BJ123" s="59">
        <f t="shared" si="92"/>
        <v>231.36959598460686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4.4337866711430253E-14</v>
      </c>
      <c r="CA123" s="13">
        <f t="shared" si="93"/>
        <v>7.3222115536967035E-13</v>
      </c>
      <c r="CB123" s="20">
        <f t="shared" si="64"/>
        <v>1.3525069634579169E-12</v>
      </c>
      <c r="CC123" s="59">
        <f t="shared" si="65"/>
        <v>293.33333333333468</v>
      </c>
      <c r="CD123" s="59">
        <f ca="1">AVERAGE(OFFSET($CC$3,0,0,'Données projet'!$E$12+1,1))-AVERAGE(OFFSET($H$3,0,0,'Données projet'!$E$12+1,1))</f>
        <v>288.82868507674738</v>
      </c>
      <c r="CE123" s="59">
        <f t="shared" si="94"/>
        <v>283.48738729114024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0.258588998495411</v>
      </c>
      <c r="CM123" s="21">
        <f>EXP(-LN(2)/2)*CM122+(1-EXP(-LN(2)/2))/(LN(2)/2)*CG123*CJ123*VLOOKUP('Données projet'!$B$12,Paramètres!$A$1:$I$89,3,0)*0.475*44/12</f>
        <v>9.2942043361648029E-14</v>
      </c>
      <c r="CN123" s="22">
        <f t="shared" si="66"/>
        <v>0.25858899849550393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1.7053025658242404E-13</v>
      </c>
      <c r="O124" s="13">
        <f>N124*VLOOKUP('Données projet'!$B$9,Paramètres!$A$1:$I$89,3,0)*VLOOKUP('Données projet'!$B$9,Paramètres!$A$1:$I$89,5,0)</f>
        <v>1.250327841262333E-13</v>
      </c>
      <c r="P124" s="13">
        <f t="shared" si="87"/>
        <v>1.8301318724634299E-12</v>
      </c>
      <c r="Q124" s="20">
        <f t="shared" si="107"/>
        <v>3.405245110226996E-12</v>
      </c>
      <c r="R124" s="59">
        <f t="shared" si="55"/>
        <v>293.33333333333672</v>
      </c>
      <c r="S124" s="59">
        <f ca="1">AVERAGE(OFFSET($R$3,0,0,'Données projet'!$E$9+1,1))-AVERAGE(OFFSET($H$3,0,0,'Données projet'!$E$9+1,1))</f>
        <v>193.60868637458515</v>
      </c>
      <c r="T124" s="59">
        <f t="shared" si="88"/>
        <v>272.97841038165217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-1.7053025658242404E-13</v>
      </c>
      <c r="AJ124" s="13">
        <f>AI124*VLOOKUP('Données projet'!$B$10,Paramètres!$A$1:$I$89,3,0)*VLOOKUP('Données projet'!$B$10,Paramètres!$A$1:$I$89,5,0)</f>
        <v>-1.3567387213697657E-13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238.56893947183841</v>
      </c>
      <c r="AO124" s="59">
        <f t="shared" si="90"/>
        <v>292.57799203101769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-1.0286385077051818E-13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277.20405719540543</v>
      </c>
      <c r="BJ124" s="59">
        <f t="shared" si="92"/>
        <v>231.36959598460686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4.4337866711430253E-14</v>
      </c>
      <c r="CA124" s="13">
        <f t="shared" si="93"/>
        <v>7.3222115536967035E-13</v>
      </c>
      <c r="CB124" s="20">
        <f t="shared" si="64"/>
        <v>1.3525069634579169E-12</v>
      </c>
      <c r="CC124" s="59">
        <f t="shared" si="65"/>
        <v>293.33333333333468</v>
      </c>
      <c r="CD124" s="59">
        <f ca="1">AVERAGE(OFFSET($CC$3,0,0,'Données projet'!$E$12+1,1))-AVERAGE(OFFSET($H$3,0,0,'Données projet'!$E$12+1,1))</f>
        <v>288.82868507674738</v>
      </c>
      <c r="CE124" s="59">
        <f t="shared" si="94"/>
        <v>283.48738729114024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0.25151786873294957</v>
      </c>
      <c r="CM124" s="21">
        <f>EXP(-LN(2)/2)*CM123+(1-EXP(-LN(2)/2))/(LN(2)/2)*CG124*CJ124*VLOOKUP('Données projet'!$B$12,Paramètres!$A$1:$I$89,3,0)*0.475*44/12</f>
        <v>6.5719949118355464E-14</v>
      </c>
      <c r="CN124" s="22">
        <f t="shared" si="66"/>
        <v>0.25151786873301529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1.7053025658242404E-13</v>
      </c>
      <c r="O125" s="13">
        <f>N125*VLOOKUP('Données projet'!$B$9,Paramètres!$A$1:$I$89,3,0)*VLOOKUP('Données projet'!$B$9,Paramètres!$A$1:$I$89,5,0)</f>
        <v>1.250327841262333E-13</v>
      </c>
      <c r="P125" s="13">
        <f t="shared" si="87"/>
        <v>1.8301318724634299E-12</v>
      </c>
      <c r="Q125" s="20">
        <f t="shared" si="107"/>
        <v>3.405245110226996E-12</v>
      </c>
      <c r="R125" s="59">
        <f t="shared" si="55"/>
        <v>293.33333333333672</v>
      </c>
      <c r="S125" s="59">
        <f ca="1">AVERAGE(OFFSET($R$3,0,0,'Données projet'!$E$9+1,1))-AVERAGE(OFFSET($H$3,0,0,'Données projet'!$E$9+1,1))</f>
        <v>193.60868637458515</v>
      </c>
      <c r="T125" s="59">
        <f t="shared" si="88"/>
        <v>272.97841038165217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-1.7053025658242404E-13</v>
      </c>
      <c r="AJ125" s="13">
        <f>AI125*VLOOKUP('Données projet'!$B$10,Paramètres!$A$1:$I$89,3,0)*VLOOKUP('Données projet'!$B$10,Paramètres!$A$1:$I$89,5,0)</f>
        <v>-1.3567387213697657E-13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238.56893947183841</v>
      </c>
      <c r="AO125" s="59">
        <f t="shared" si="90"/>
        <v>292.57799203101769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-1.0286385077051818E-13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277.20405719540543</v>
      </c>
      <c r="BJ125" s="59">
        <f t="shared" si="92"/>
        <v>231.36959598460686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4.4337866711430253E-14</v>
      </c>
      <c r="CA125" s="13">
        <f t="shared" si="93"/>
        <v>7.3222115536967035E-13</v>
      </c>
      <c r="CB125" s="20">
        <f t="shared" si="64"/>
        <v>1.3525069634579169E-12</v>
      </c>
      <c r="CC125" s="59">
        <f t="shared" si="65"/>
        <v>293.33333333333468</v>
      </c>
      <c r="CD125" s="59">
        <f ca="1">AVERAGE(OFFSET($CC$3,0,0,'Données projet'!$E$12+1,1))-AVERAGE(OFFSET($H$3,0,0,'Données projet'!$E$12+1,1))</f>
        <v>288.82868507674738</v>
      </c>
      <c r="CE125" s="59">
        <f t="shared" si="94"/>
        <v>283.48738729114024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0.2446400993856972</v>
      </c>
      <c r="CM125" s="21">
        <f>EXP(-LN(2)/2)*CM124+(1-EXP(-LN(2)/2))/(LN(2)/2)*CG125*CJ125*VLOOKUP('Données projet'!$B$12,Paramètres!$A$1:$I$89,3,0)*0.475*44/12</f>
        <v>4.6471021680824015E-14</v>
      </c>
      <c r="CN125" s="22">
        <f t="shared" si="66"/>
        <v>0.24464009938574366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1.7053025658242404E-13</v>
      </c>
      <c r="O126" s="13">
        <f>N126*VLOOKUP('Données projet'!$B$9,Paramètres!$A$1:$I$89,3,0)*VLOOKUP('Données projet'!$B$9,Paramètres!$A$1:$I$89,5,0)</f>
        <v>1.250327841262333E-13</v>
      </c>
      <c r="P126" s="13">
        <f t="shared" si="87"/>
        <v>1.8301318724634299E-12</v>
      </c>
      <c r="Q126" s="20">
        <f t="shared" si="107"/>
        <v>3.405245110226996E-12</v>
      </c>
      <c r="R126" s="59">
        <f t="shared" si="55"/>
        <v>293.33333333333672</v>
      </c>
      <c r="S126" s="59">
        <f ca="1">AVERAGE(OFFSET($R$3,0,0,'Données projet'!$E$9+1,1))-AVERAGE(OFFSET($H$3,0,0,'Données projet'!$E$9+1,1))</f>
        <v>193.60868637458515</v>
      </c>
      <c r="T126" s="59">
        <f t="shared" si="88"/>
        <v>272.97841038165217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-1.7053025658242404E-13</v>
      </c>
      <c r="AJ126" s="13">
        <f>AI126*VLOOKUP('Données projet'!$B$10,Paramètres!$A$1:$I$89,3,0)*VLOOKUP('Données projet'!$B$10,Paramètres!$A$1:$I$89,5,0)</f>
        <v>-1.3567387213697657E-13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238.56893947183841</v>
      </c>
      <c r="AO126" s="59">
        <f t="shared" si="90"/>
        <v>292.57799203101769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-1.0286385077051818E-13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277.20405719540543</v>
      </c>
      <c r="BJ126" s="59">
        <f t="shared" si="92"/>
        <v>231.36959598460686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4.4337866711430253E-14</v>
      </c>
      <c r="CA126" s="13">
        <f t="shared" si="93"/>
        <v>7.3222115536967035E-13</v>
      </c>
      <c r="CB126" s="20">
        <f t="shared" si="64"/>
        <v>1.3525069634579169E-12</v>
      </c>
      <c r="CC126" s="59">
        <f t="shared" si="65"/>
        <v>293.33333333333468</v>
      </c>
      <c r="CD126" s="59">
        <f ca="1">AVERAGE(OFFSET($CC$3,0,0,'Données projet'!$E$12+1,1))-AVERAGE(OFFSET($H$3,0,0,'Données projet'!$E$12+1,1))</f>
        <v>288.82868507674738</v>
      </c>
      <c r="CE126" s="59">
        <f t="shared" si="94"/>
        <v>283.48738729114024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0.2379504030029316</v>
      </c>
      <c r="CM126" s="21">
        <f>EXP(-LN(2)/2)*CM125+(1-EXP(-LN(2)/2))/(LN(2)/2)*CG126*CJ126*VLOOKUP('Données projet'!$B$12,Paramètres!$A$1:$I$89,3,0)*0.475*44/12</f>
        <v>3.2859974559177732E-14</v>
      </c>
      <c r="CN126" s="22">
        <f t="shared" si="66"/>
        <v>0.23795040300296447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1.7053025658242404E-13</v>
      </c>
      <c r="O127" s="13">
        <f>N127*VLOOKUP('Données projet'!$B$9,Paramètres!$A$1:$I$89,3,0)*VLOOKUP('Données projet'!$B$9,Paramètres!$A$1:$I$89,5,0)</f>
        <v>1.250327841262333E-13</v>
      </c>
      <c r="P127" s="13">
        <f t="shared" si="87"/>
        <v>1.8301318724634299E-12</v>
      </c>
      <c r="Q127" s="20">
        <f t="shared" si="107"/>
        <v>3.405245110226996E-12</v>
      </c>
      <c r="R127" s="59">
        <f t="shared" si="55"/>
        <v>293.33333333333672</v>
      </c>
      <c r="S127" s="59">
        <f ca="1">AVERAGE(OFFSET($R$3,0,0,'Données projet'!$E$9+1,1))-AVERAGE(OFFSET($H$3,0,0,'Données projet'!$E$9+1,1))</f>
        <v>193.60868637458515</v>
      </c>
      <c r="T127" s="59">
        <f t="shared" si="88"/>
        <v>272.97841038165217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-1.7053025658242404E-13</v>
      </c>
      <c r="AJ127" s="13">
        <f>AI127*VLOOKUP('Données projet'!$B$10,Paramètres!$A$1:$I$89,3,0)*VLOOKUP('Données projet'!$B$10,Paramètres!$A$1:$I$89,5,0)</f>
        <v>-1.3567387213697657E-13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238.56893947183841</v>
      </c>
      <c r="AO127" s="59">
        <f t="shared" si="90"/>
        <v>292.57799203101769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-1.0286385077051818E-13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277.20405719540543</v>
      </c>
      <c r="BJ127" s="59">
        <f t="shared" si="92"/>
        <v>231.36959598460686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4.4337866711430253E-14</v>
      </c>
      <c r="CA127" s="13">
        <f t="shared" si="93"/>
        <v>7.3222115536967035E-13</v>
      </c>
      <c r="CB127" s="20">
        <f t="shared" si="64"/>
        <v>1.3525069634579169E-12</v>
      </c>
      <c r="CC127" s="59">
        <f t="shared" si="65"/>
        <v>293.33333333333468</v>
      </c>
      <c r="CD127" s="59">
        <f ca="1">AVERAGE(OFFSET($CC$3,0,0,'Données projet'!$E$12+1,1))-AVERAGE(OFFSET($H$3,0,0,'Données projet'!$E$12+1,1))</f>
        <v>288.82868507674738</v>
      </c>
      <c r="CE127" s="59">
        <f t="shared" si="94"/>
        <v>283.48738729114024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0.2314436367195486</v>
      </c>
      <c r="CM127" s="21">
        <f>EXP(-LN(2)/2)*CM126+(1-EXP(-LN(2)/2))/(LN(2)/2)*CG127*CJ127*VLOOKUP('Données projet'!$B$12,Paramètres!$A$1:$I$89,3,0)*0.475*44/12</f>
        <v>2.3235510840412007E-14</v>
      </c>
      <c r="CN127" s="22">
        <f t="shared" si="66"/>
        <v>0.23144363671957183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1.7053025658242404E-13</v>
      </c>
      <c r="O128" s="13">
        <f>N128*VLOOKUP('Données projet'!$B$9,Paramètres!$A$1:$I$89,3,0)*VLOOKUP('Données projet'!$B$9,Paramètres!$A$1:$I$89,5,0)</f>
        <v>1.250327841262333E-13</v>
      </c>
      <c r="P128" s="13">
        <f t="shared" si="87"/>
        <v>1.8301318724634299E-12</v>
      </c>
      <c r="Q128" s="20">
        <f t="shared" si="107"/>
        <v>3.405245110226996E-12</v>
      </c>
      <c r="R128" s="59">
        <f t="shared" si="55"/>
        <v>293.33333333333672</v>
      </c>
      <c r="S128" s="59">
        <f ca="1">AVERAGE(OFFSET($R$3,0,0,'Données projet'!$E$9+1,1))-AVERAGE(OFFSET($H$3,0,0,'Données projet'!$E$9+1,1))</f>
        <v>193.60868637458515</v>
      </c>
      <c r="T128" s="59">
        <f t="shared" si="88"/>
        <v>272.97841038165217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-1.7053025658242404E-13</v>
      </c>
      <c r="AJ128" s="13">
        <f>AI128*VLOOKUP('Données projet'!$B$10,Paramètres!$A$1:$I$89,3,0)*VLOOKUP('Données projet'!$B$10,Paramètres!$A$1:$I$89,5,0)</f>
        <v>-1.3567387213697657E-13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238.56893947183841</v>
      </c>
      <c r="AO128" s="59">
        <f t="shared" si="90"/>
        <v>292.57799203101769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-1.0286385077051818E-13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277.20405719540543</v>
      </c>
      <c r="BJ128" s="59">
        <f t="shared" si="92"/>
        <v>231.36959598460686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4.4337866711430253E-14</v>
      </c>
      <c r="CA128" s="13">
        <f t="shared" si="93"/>
        <v>7.3222115536967035E-13</v>
      </c>
      <c r="CB128" s="20">
        <f t="shared" si="64"/>
        <v>1.3525069634579169E-12</v>
      </c>
      <c r="CC128" s="59">
        <f t="shared" si="65"/>
        <v>293.33333333333468</v>
      </c>
      <c r="CD128" s="59">
        <f ca="1">AVERAGE(OFFSET($CC$3,0,0,'Données projet'!$E$12+1,1))-AVERAGE(OFFSET($H$3,0,0,'Données projet'!$E$12+1,1))</f>
        <v>288.82868507674738</v>
      </c>
      <c r="CE128" s="59">
        <f t="shared" si="94"/>
        <v>283.48738729114024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0.22511479830236067</v>
      </c>
      <c r="CM128" s="21">
        <f>EXP(-LN(2)/2)*CM127+(1-EXP(-LN(2)/2))/(LN(2)/2)*CG128*CJ128*VLOOKUP('Données projet'!$B$12,Paramètres!$A$1:$I$89,3,0)*0.475*44/12</f>
        <v>1.6429987279588866E-14</v>
      </c>
      <c r="CN128" s="22">
        <f t="shared" si="66"/>
        <v>0.2251147983023771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1.7053025658242404E-13</v>
      </c>
      <c r="O129" s="13">
        <f>N129*VLOOKUP('Données projet'!$B$9,Paramètres!$A$1:$I$89,3,0)*VLOOKUP('Données projet'!$B$9,Paramètres!$A$1:$I$89,5,0)</f>
        <v>1.250327841262333E-13</v>
      </c>
      <c r="P129" s="13">
        <f t="shared" si="87"/>
        <v>1.8301318724634299E-12</v>
      </c>
      <c r="Q129" s="20">
        <f t="shared" si="107"/>
        <v>3.405245110226996E-12</v>
      </c>
      <c r="R129" s="59">
        <f t="shared" si="55"/>
        <v>293.33333333333672</v>
      </c>
      <c r="S129" s="59">
        <f ca="1">AVERAGE(OFFSET($R$3,0,0,'Données projet'!$E$9+1,1))-AVERAGE(OFFSET($H$3,0,0,'Données projet'!$E$9+1,1))</f>
        <v>193.60868637458515</v>
      </c>
      <c r="T129" s="59">
        <f t="shared" si="88"/>
        <v>272.97841038165217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-1.7053025658242404E-13</v>
      </c>
      <c r="AJ129" s="13">
        <f>AI129*VLOOKUP('Données projet'!$B$10,Paramètres!$A$1:$I$89,3,0)*VLOOKUP('Données projet'!$B$10,Paramètres!$A$1:$I$89,5,0)</f>
        <v>-1.3567387213697657E-13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238.56893947183841</v>
      </c>
      <c r="AO129" s="59">
        <f t="shared" si="90"/>
        <v>292.57799203101769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-1.0286385077051818E-13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277.20405719540543</v>
      </c>
      <c r="BJ129" s="59">
        <f t="shared" si="92"/>
        <v>231.36959598460686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4.4337866711430253E-14</v>
      </c>
      <c r="CA129" s="13">
        <f t="shared" si="93"/>
        <v>7.3222115536967035E-13</v>
      </c>
      <c r="CB129" s="20">
        <f t="shared" si="64"/>
        <v>1.3525069634579169E-12</v>
      </c>
      <c r="CC129" s="59">
        <f t="shared" si="65"/>
        <v>293.33333333333468</v>
      </c>
      <c r="CD129" s="59">
        <f ca="1">AVERAGE(OFFSET($CC$3,0,0,'Données projet'!$E$12+1,1))-AVERAGE(OFFSET($H$3,0,0,'Données projet'!$E$12+1,1))</f>
        <v>288.82868507674738</v>
      </c>
      <c r="CE129" s="59">
        <f t="shared" si="94"/>
        <v>283.48738729114024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0.21895902230450989</v>
      </c>
      <c r="CM129" s="21">
        <f>EXP(-LN(2)/2)*CM128+(1-EXP(-LN(2)/2))/(LN(2)/2)*CG129*CJ129*VLOOKUP('Données projet'!$B$12,Paramètres!$A$1:$I$89,3,0)*0.475*44/12</f>
        <v>1.1617755420206004E-14</v>
      </c>
      <c r="CN129" s="22">
        <f t="shared" si="66"/>
        <v>0.21895902230452152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1.7053025658242404E-13</v>
      </c>
      <c r="O130" s="13">
        <f>N130*VLOOKUP('Données projet'!$B$9,Paramètres!$A$1:$I$89,3,0)*VLOOKUP('Données projet'!$B$9,Paramètres!$A$1:$I$89,5,0)</f>
        <v>1.250327841262333E-13</v>
      </c>
      <c r="P130" s="13">
        <f t="shared" si="87"/>
        <v>1.8301318724634299E-12</v>
      </c>
      <c r="Q130" s="20">
        <f t="shared" si="107"/>
        <v>3.405245110226996E-12</v>
      </c>
      <c r="R130" s="59">
        <f t="shared" si="55"/>
        <v>293.33333333333672</v>
      </c>
      <c r="S130" s="59">
        <f ca="1">AVERAGE(OFFSET($R$3,0,0,'Données projet'!$E$9+1,1))-AVERAGE(OFFSET($H$3,0,0,'Données projet'!$E$9+1,1))</f>
        <v>193.60868637458515</v>
      </c>
      <c r="T130" s="59">
        <f t="shared" si="88"/>
        <v>272.97841038165217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-1.7053025658242404E-13</v>
      </c>
      <c r="AJ130" s="13">
        <f>AI130*VLOOKUP('Données projet'!$B$10,Paramètres!$A$1:$I$89,3,0)*VLOOKUP('Données projet'!$B$10,Paramètres!$A$1:$I$89,5,0)</f>
        <v>-1.3567387213697657E-13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238.56893947183841</v>
      </c>
      <c r="AO130" s="59">
        <f t="shared" si="90"/>
        <v>292.57799203101769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-1.0286385077051818E-13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277.20405719540543</v>
      </c>
      <c r="BJ130" s="59">
        <f t="shared" si="92"/>
        <v>231.36959598460686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4.4337866711430253E-14</v>
      </c>
      <c r="CA130" s="13">
        <f t="shared" si="93"/>
        <v>7.3222115536967035E-13</v>
      </c>
      <c r="CB130" s="20">
        <f t="shared" si="64"/>
        <v>1.3525069634579169E-12</v>
      </c>
      <c r="CC130" s="59">
        <f t="shared" si="65"/>
        <v>293.33333333333468</v>
      </c>
      <c r="CD130" s="59">
        <f ca="1">AVERAGE(OFFSET($CC$3,0,0,'Données projet'!$E$12+1,1))-AVERAGE(OFFSET($H$3,0,0,'Données projet'!$E$12+1,1))</f>
        <v>288.82868507674738</v>
      </c>
      <c r="CE130" s="59">
        <f t="shared" si="94"/>
        <v>283.48738729114024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0.21297157632503852</v>
      </c>
      <c r="CM130" s="21">
        <f>EXP(-LN(2)/2)*CM129+(1-EXP(-LN(2)/2))/(LN(2)/2)*CG130*CJ130*VLOOKUP('Données projet'!$B$12,Paramètres!$A$1:$I$89,3,0)*0.475*44/12</f>
        <v>8.214993639794433E-15</v>
      </c>
      <c r="CN130" s="22">
        <f t="shared" si="66"/>
        <v>0.21297157632504674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1.7053025658242404E-13</v>
      </c>
      <c r="O131" s="13">
        <f>N131*VLOOKUP('Données projet'!$B$9,Paramètres!$A$1:$I$89,3,0)*VLOOKUP('Données projet'!$B$9,Paramètres!$A$1:$I$89,5,0)</f>
        <v>1.250327841262333E-13</v>
      </c>
      <c r="P131" s="13">
        <f t="shared" si="87"/>
        <v>1.8301318724634299E-12</v>
      </c>
      <c r="Q131" s="20">
        <f t="shared" ref="Q131:Q153" si="108">(O131+P131)*0.475*44/12</f>
        <v>3.405245110226996E-12</v>
      </c>
      <c r="R131" s="59">
        <f t="shared" ref="R131:R194" si="109">Q131+(I131+J131)*44/12</f>
        <v>293.33333333333672</v>
      </c>
      <c r="S131" s="59">
        <f ca="1">AVERAGE(OFFSET($R$3,0,0,'Données projet'!$E$9+1,1))-AVERAGE(OFFSET($H$3,0,0,'Données projet'!$E$9+1,1))</f>
        <v>193.60868637458515</v>
      </c>
      <c r="T131" s="59">
        <f t="shared" si="88"/>
        <v>272.97841038165217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-1.7053025658242404E-13</v>
      </c>
      <c r="AJ131" s="13">
        <f>AI131*VLOOKUP('Données projet'!$B$10,Paramètres!$A$1:$I$89,3,0)*VLOOKUP('Données projet'!$B$10,Paramètres!$A$1:$I$89,5,0)</f>
        <v>-1.3567387213697657E-13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238.56893947183841</v>
      </c>
      <c r="AO131" s="59">
        <f t="shared" si="90"/>
        <v>292.57799203101769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-1.0286385077051818E-13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277.20405719540543</v>
      </c>
      <c r="BJ131" s="59">
        <f t="shared" si="92"/>
        <v>231.36959598460686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4.4337866711430253E-14</v>
      </c>
      <c r="CA131" s="13">
        <f t="shared" si="93"/>
        <v>7.3222115536967035E-13</v>
      </c>
      <c r="CB131" s="20">
        <f t="shared" si="64"/>
        <v>1.3525069634579169E-12</v>
      </c>
      <c r="CC131" s="59">
        <f t="shared" si="65"/>
        <v>293.33333333333468</v>
      </c>
      <c r="CD131" s="59">
        <f ca="1">AVERAGE(OFFSET($CC$3,0,0,'Données projet'!$E$12+1,1))-AVERAGE(OFFSET($H$3,0,0,'Données projet'!$E$12+1,1))</f>
        <v>288.82868507674738</v>
      </c>
      <c r="CE131" s="59">
        <f t="shared" si="94"/>
        <v>283.48738729114024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0.2071478573707419</v>
      </c>
      <c r="CM131" s="21">
        <f>EXP(-LN(2)/2)*CM130+(1-EXP(-LN(2)/2))/(LN(2)/2)*CG131*CJ131*VLOOKUP('Données projet'!$B$12,Paramètres!$A$1:$I$89,3,0)*0.475*44/12</f>
        <v>5.8088777101030018E-15</v>
      </c>
      <c r="CN131" s="22">
        <f t="shared" si="66"/>
        <v>0.2071478573707477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1.7053025658242404E-13</v>
      </c>
      <c r="O132" s="13">
        <f>N132*VLOOKUP('Données projet'!$B$9,Paramètres!$A$1:$I$89,3,0)*VLOOKUP('Données projet'!$B$9,Paramètres!$A$1:$I$89,5,0)</f>
        <v>1.250327841262333E-13</v>
      </c>
      <c r="P132" s="13">
        <f t="shared" si="87"/>
        <v>1.8301318724634299E-12</v>
      </c>
      <c r="Q132" s="20">
        <f t="shared" si="108"/>
        <v>3.405245110226996E-12</v>
      </c>
      <c r="R132" s="59">
        <f t="shared" si="109"/>
        <v>293.33333333333672</v>
      </c>
      <c r="S132" s="59">
        <f ca="1">AVERAGE(OFFSET($R$3,0,0,'Données projet'!$E$9+1,1))-AVERAGE(OFFSET($H$3,0,0,'Données projet'!$E$9+1,1))</f>
        <v>193.60868637458515</v>
      </c>
      <c r="T132" s="59">
        <f t="shared" si="88"/>
        <v>272.97841038165217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-1.7053025658242404E-13</v>
      </c>
      <c r="AJ132" s="13">
        <f>AI132*VLOOKUP('Données projet'!$B$10,Paramètres!$A$1:$I$89,3,0)*VLOOKUP('Données projet'!$B$10,Paramètres!$A$1:$I$89,5,0)</f>
        <v>-1.3567387213697657E-13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238.56893947183841</v>
      </c>
      <c r="AO132" s="59">
        <f t="shared" si="90"/>
        <v>292.57799203101769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-1.0286385077051818E-13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277.20405719540543</v>
      </c>
      <c r="BJ132" s="59">
        <f t="shared" si="92"/>
        <v>231.36959598460686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4.4337866711430253E-14</v>
      </c>
      <c r="CA132" s="13">
        <f t="shared" si="93"/>
        <v>7.3222115536967035E-13</v>
      </c>
      <c r="CB132" s="20">
        <f t="shared" ref="CB132:CB153" si="118">(BZ132+CA132)*0.475*44/12</f>
        <v>1.3525069634579169E-12</v>
      </c>
      <c r="CC132" s="59">
        <f t="shared" ref="CC132:CC195" si="119">CB132+(BT132+BU132)*44/12</f>
        <v>293.33333333333468</v>
      </c>
      <c r="CD132" s="59">
        <f ca="1">AVERAGE(OFFSET($CC$3,0,0,'Données projet'!$E$12+1,1))-AVERAGE(OFFSET($H$3,0,0,'Données projet'!$E$12+1,1))</f>
        <v>288.82868507674738</v>
      </c>
      <c r="CE132" s="59">
        <f t="shared" si="94"/>
        <v>283.48738729114024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0.20148338831750659</v>
      </c>
      <c r="CM132" s="21">
        <f>EXP(-LN(2)/2)*CM131+(1-EXP(-LN(2)/2))/(LN(2)/2)*CG132*CJ132*VLOOKUP('Données projet'!$B$12,Paramètres!$A$1:$I$89,3,0)*0.475*44/12</f>
        <v>4.1074968198972165E-15</v>
      </c>
      <c r="CN132" s="22">
        <f t="shared" ref="CN132:CN153" si="120">SUM(CK132:CM132)</f>
        <v>0.2014833883175107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1.7053025658242404E-13</v>
      </c>
      <c r="O133" s="13">
        <f>N133*VLOOKUP('Données projet'!$B$9,Paramètres!$A$1:$I$89,3,0)*VLOOKUP('Données projet'!$B$9,Paramètres!$A$1:$I$89,5,0)</f>
        <v>1.250327841262333E-13</v>
      </c>
      <c r="P133" s="13">
        <f t="shared" ref="P133:P196" si="141">EXP(-1.0587+0.8836*LN(O133)+0.284)</f>
        <v>1.8301318724634299E-12</v>
      </c>
      <c r="Q133" s="20">
        <f t="shared" si="108"/>
        <v>3.405245110226996E-12</v>
      </c>
      <c r="R133" s="59">
        <f t="shared" si="109"/>
        <v>293.33333333333672</v>
      </c>
      <c r="S133" s="59">
        <f ca="1">AVERAGE(OFFSET($R$3,0,0,'Données projet'!$E$9+1,1))-AVERAGE(OFFSET($H$3,0,0,'Données projet'!$E$9+1,1))</f>
        <v>193.60868637458515</v>
      </c>
      <c r="T133" s="59">
        <f t="shared" ref="T133:T196" si="142">$T$3</f>
        <v>272.97841038165217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-1.7053025658242404E-13</v>
      </c>
      <c r="AJ133" s="13">
        <f>AI133*VLOOKUP('Données projet'!$B$10,Paramètres!$A$1:$I$89,3,0)*VLOOKUP('Données projet'!$B$10,Paramètres!$A$1:$I$89,5,0)</f>
        <v>-1.3567387213697657E-13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238.56893947183841</v>
      </c>
      <c r="AO133" s="59">
        <f t="shared" ref="AO133:AO196" si="144">$AO$3</f>
        <v>292.57799203101769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-1.0286385077051818E-13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277.20405719540543</v>
      </c>
      <c r="BJ133" s="59">
        <f t="shared" ref="BJ133:BJ196" si="146">$BJ$3</f>
        <v>231.36959598460686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4.4337866711430253E-14</v>
      </c>
      <c r="CA133" s="13">
        <f t="shared" ref="CA133:CA153" si="147">EXP(-1.0587+0.8836*LN(BZ133)+0.284)</f>
        <v>7.3222115536967035E-13</v>
      </c>
      <c r="CB133" s="20">
        <f t="shared" si="118"/>
        <v>1.3525069634579169E-12</v>
      </c>
      <c r="CC133" s="59">
        <f t="shared" si="119"/>
        <v>293.33333333333468</v>
      </c>
      <c r="CD133" s="59">
        <f ca="1">AVERAGE(OFFSET($CC$3,0,0,'Données projet'!$E$12+1,1))-AVERAGE(OFFSET($H$3,0,0,'Données projet'!$E$12+1,1))</f>
        <v>288.82868507674738</v>
      </c>
      <c r="CE133" s="59">
        <f t="shared" ref="CE133:CE196" si="148">$CE$3</f>
        <v>283.48738729114024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0.19597381446841347</v>
      </c>
      <c r="CM133" s="21">
        <f>EXP(-LN(2)/2)*CM132+(1-EXP(-LN(2)/2))/(LN(2)/2)*CG133*CJ133*VLOOKUP('Données projet'!$B$12,Paramètres!$A$1:$I$89,3,0)*0.475*44/12</f>
        <v>2.9044388550515009E-15</v>
      </c>
      <c r="CN133" s="22">
        <f t="shared" si="120"/>
        <v>0.19597381446841639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1.7053025658242404E-13</v>
      </c>
      <c r="O134" s="13">
        <f>N134*VLOOKUP('Données projet'!$B$9,Paramètres!$A$1:$I$89,3,0)*VLOOKUP('Données projet'!$B$9,Paramètres!$A$1:$I$89,5,0)</f>
        <v>1.250327841262333E-13</v>
      </c>
      <c r="P134" s="13">
        <f t="shared" si="141"/>
        <v>1.8301318724634299E-12</v>
      </c>
      <c r="Q134" s="20">
        <f t="shared" si="108"/>
        <v>3.405245110226996E-12</v>
      </c>
      <c r="R134" s="59">
        <f t="shared" si="109"/>
        <v>293.33333333333672</v>
      </c>
      <c r="S134" s="59">
        <f ca="1">AVERAGE(OFFSET($R$3,0,0,'Données projet'!$E$9+1,1))-AVERAGE(OFFSET($H$3,0,0,'Données projet'!$E$9+1,1))</f>
        <v>193.60868637458515</v>
      </c>
      <c r="T134" s="59">
        <f t="shared" si="142"/>
        <v>272.97841038165217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-1.7053025658242404E-13</v>
      </c>
      <c r="AJ134" s="13">
        <f>AI134*VLOOKUP('Données projet'!$B$10,Paramètres!$A$1:$I$89,3,0)*VLOOKUP('Données projet'!$B$10,Paramètres!$A$1:$I$89,5,0)</f>
        <v>-1.3567387213697657E-13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238.56893947183841</v>
      </c>
      <c r="AO134" s="59">
        <f t="shared" si="144"/>
        <v>292.57799203101769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-1.0286385077051818E-13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277.20405719540543</v>
      </c>
      <c r="BJ134" s="59">
        <f t="shared" si="146"/>
        <v>231.36959598460686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4.4337866711430253E-14</v>
      </c>
      <c r="CA134" s="13">
        <f t="shared" si="147"/>
        <v>7.3222115536967035E-13</v>
      </c>
      <c r="CB134" s="20">
        <f t="shared" si="118"/>
        <v>1.3525069634579169E-12</v>
      </c>
      <c r="CC134" s="59">
        <f t="shared" si="119"/>
        <v>293.33333333333468</v>
      </c>
      <c r="CD134" s="59">
        <f ca="1">AVERAGE(OFFSET($CC$3,0,0,'Données projet'!$E$12+1,1))-AVERAGE(OFFSET($H$3,0,0,'Données projet'!$E$12+1,1))</f>
        <v>288.82868507674738</v>
      </c>
      <c r="CE134" s="59">
        <f t="shared" si="148"/>
        <v>283.48738729114024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0.1906149002059597</v>
      </c>
      <c r="CM134" s="21">
        <f>EXP(-LN(2)/2)*CM133+(1-EXP(-LN(2)/2))/(LN(2)/2)*CG134*CJ134*VLOOKUP('Données projet'!$B$12,Paramètres!$A$1:$I$89,3,0)*0.475*44/12</f>
        <v>2.0537484099486083E-15</v>
      </c>
      <c r="CN134" s="22">
        <f t="shared" si="120"/>
        <v>0.19061490020596175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1.7053025658242404E-13</v>
      </c>
      <c r="O135" s="13">
        <f>N135*VLOOKUP('Données projet'!$B$9,Paramètres!$A$1:$I$89,3,0)*VLOOKUP('Données projet'!$B$9,Paramètres!$A$1:$I$89,5,0)</f>
        <v>1.250327841262333E-13</v>
      </c>
      <c r="P135" s="13">
        <f t="shared" si="141"/>
        <v>1.8301318724634299E-12</v>
      </c>
      <c r="Q135" s="20">
        <f t="shared" si="108"/>
        <v>3.405245110226996E-12</v>
      </c>
      <c r="R135" s="59">
        <f t="shared" si="109"/>
        <v>293.33333333333672</v>
      </c>
      <c r="S135" s="59">
        <f ca="1">AVERAGE(OFFSET($R$3,0,0,'Données projet'!$E$9+1,1))-AVERAGE(OFFSET($H$3,0,0,'Données projet'!$E$9+1,1))</f>
        <v>193.60868637458515</v>
      </c>
      <c r="T135" s="59">
        <f t="shared" si="142"/>
        <v>272.97841038165217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-1.7053025658242404E-13</v>
      </c>
      <c r="AJ135" s="13">
        <f>AI135*VLOOKUP('Données projet'!$B$10,Paramètres!$A$1:$I$89,3,0)*VLOOKUP('Données projet'!$B$10,Paramètres!$A$1:$I$89,5,0)</f>
        <v>-1.3567387213697657E-13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238.56893947183841</v>
      </c>
      <c r="AO135" s="59">
        <f t="shared" si="144"/>
        <v>292.57799203101769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-1.0286385077051818E-13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277.20405719540543</v>
      </c>
      <c r="BJ135" s="59">
        <f t="shared" si="146"/>
        <v>231.36959598460686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4.4337866711430253E-14</v>
      </c>
      <c r="CA135" s="13">
        <f t="shared" si="147"/>
        <v>7.3222115536967035E-13</v>
      </c>
      <c r="CB135" s="20">
        <f t="shared" si="118"/>
        <v>1.3525069634579169E-12</v>
      </c>
      <c r="CC135" s="59">
        <f t="shared" si="119"/>
        <v>293.33333333333468</v>
      </c>
      <c r="CD135" s="59">
        <f ca="1">AVERAGE(OFFSET($CC$3,0,0,'Données projet'!$E$12+1,1))-AVERAGE(OFFSET($H$3,0,0,'Données projet'!$E$12+1,1))</f>
        <v>288.82868507674738</v>
      </c>
      <c r="CE135" s="59">
        <f t="shared" si="148"/>
        <v>283.48738729114024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0.18540252573582577</v>
      </c>
      <c r="CM135" s="21">
        <f>EXP(-LN(2)/2)*CM134+(1-EXP(-LN(2)/2))/(LN(2)/2)*CG135*CJ135*VLOOKUP('Données projet'!$B$12,Paramètres!$A$1:$I$89,3,0)*0.475*44/12</f>
        <v>1.4522194275257505E-15</v>
      </c>
      <c r="CN135" s="22">
        <f t="shared" si="120"/>
        <v>0.18540252573582722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1.7053025658242404E-13</v>
      </c>
      <c r="O136" s="13">
        <f>N136*VLOOKUP('Données projet'!$B$9,Paramètres!$A$1:$I$89,3,0)*VLOOKUP('Données projet'!$B$9,Paramètres!$A$1:$I$89,5,0)</f>
        <v>1.250327841262333E-13</v>
      </c>
      <c r="P136" s="13">
        <f t="shared" si="141"/>
        <v>1.8301318724634299E-12</v>
      </c>
      <c r="Q136" s="20">
        <f t="shared" si="108"/>
        <v>3.405245110226996E-12</v>
      </c>
      <c r="R136" s="59">
        <f t="shared" si="109"/>
        <v>293.33333333333672</v>
      </c>
      <c r="S136" s="59">
        <f ca="1">AVERAGE(OFFSET($R$3,0,0,'Données projet'!$E$9+1,1))-AVERAGE(OFFSET($H$3,0,0,'Données projet'!$E$9+1,1))</f>
        <v>193.60868637458515</v>
      </c>
      <c r="T136" s="59">
        <f t="shared" si="142"/>
        <v>272.97841038165217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-1.7053025658242404E-13</v>
      </c>
      <c r="AJ136" s="13">
        <f>AI136*VLOOKUP('Données projet'!$B$10,Paramètres!$A$1:$I$89,3,0)*VLOOKUP('Données projet'!$B$10,Paramètres!$A$1:$I$89,5,0)</f>
        <v>-1.3567387213697657E-13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238.56893947183841</v>
      </c>
      <c r="AO136" s="59">
        <f t="shared" si="144"/>
        <v>292.57799203101769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-1.0286385077051818E-13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277.20405719540543</v>
      </c>
      <c r="BJ136" s="59">
        <f t="shared" si="146"/>
        <v>231.36959598460686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4.4337866711430253E-14</v>
      </c>
      <c r="CA136" s="13">
        <f t="shared" si="147"/>
        <v>7.3222115536967035E-13</v>
      </c>
      <c r="CB136" s="20">
        <f t="shared" si="118"/>
        <v>1.3525069634579169E-12</v>
      </c>
      <c r="CC136" s="59">
        <f t="shared" si="119"/>
        <v>293.33333333333468</v>
      </c>
      <c r="CD136" s="59">
        <f ca="1">AVERAGE(OFFSET($CC$3,0,0,'Données projet'!$E$12+1,1))-AVERAGE(OFFSET($H$3,0,0,'Données projet'!$E$12+1,1))</f>
        <v>288.82868507674738</v>
      </c>
      <c r="CE136" s="59">
        <f t="shared" si="148"/>
        <v>283.48738729114024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0.18033268391968454</v>
      </c>
      <c r="CM136" s="21">
        <f>EXP(-LN(2)/2)*CM135+(1-EXP(-LN(2)/2))/(LN(2)/2)*CG136*CJ136*VLOOKUP('Données projet'!$B$12,Paramètres!$A$1:$I$89,3,0)*0.475*44/12</f>
        <v>1.0268742049743041E-15</v>
      </c>
      <c r="CN136" s="22">
        <f t="shared" si="120"/>
        <v>0.18033268391968557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1.7053025658242404E-13</v>
      </c>
      <c r="O137" s="13">
        <f>N137*VLOOKUP('Données projet'!$B$9,Paramètres!$A$1:$I$89,3,0)*VLOOKUP('Données projet'!$B$9,Paramètres!$A$1:$I$89,5,0)</f>
        <v>1.250327841262333E-13</v>
      </c>
      <c r="P137" s="13">
        <f t="shared" si="141"/>
        <v>1.8301318724634299E-12</v>
      </c>
      <c r="Q137" s="20">
        <f t="shared" si="108"/>
        <v>3.405245110226996E-12</v>
      </c>
      <c r="R137" s="59">
        <f t="shared" si="109"/>
        <v>293.33333333333672</v>
      </c>
      <c r="S137" s="59">
        <f ca="1">AVERAGE(OFFSET($R$3,0,0,'Données projet'!$E$9+1,1))-AVERAGE(OFFSET($H$3,0,0,'Données projet'!$E$9+1,1))</f>
        <v>193.60868637458515</v>
      </c>
      <c r="T137" s="59">
        <f t="shared" si="142"/>
        <v>272.97841038165217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-1.7053025658242404E-13</v>
      </c>
      <c r="AJ137" s="13">
        <f>AI137*VLOOKUP('Données projet'!$B$10,Paramètres!$A$1:$I$89,3,0)*VLOOKUP('Données projet'!$B$10,Paramètres!$A$1:$I$89,5,0)</f>
        <v>-1.3567387213697657E-13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238.56893947183841</v>
      </c>
      <c r="AO137" s="59">
        <f t="shared" si="144"/>
        <v>292.57799203101769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-1.0286385077051818E-13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277.20405719540543</v>
      </c>
      <c r="BJ137" s="59">
        <f t="shared" si="146"/>
        <v>231.36959598460686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4.4337866711430253E-14</v>
      </c>
      <c r="CA137" s="13">
        <f t="shared" si="147"/>
        <v>7.3222115536967035E-13</v>
      </c>
      <c r="CB137" s="20">
        <f t="shared" si="118"/>
        <v>1.3525069634579169E-12</v>
      </c>
      <c r="CC137" s="59">
        <f t="shared" si="119"/>
        <v>293.33333333333468</v>
      </c>
      <c r="CD137" s="59">
        <f ca="1">AVERAGE(OFFSET($CC$3,0,0,'Données projet'!$E$12+1,1))-AVERAGE(OFFSET($H$3,0,0,'Données projet'!$E$12+1,1))</f>
        <v>288.82868507674738</v>
      </c>
      <c r="CE137" s="59">
        <f t="shared" si="148"/>
        <v>283.48738729114024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0.17540147719461707</v>
      </c>
      <c r="CM137" s="21">
        <f>EXP(-LN(2)/2)*CM136+(1-EXP(-LN(2)/2))/(LN(2)/2)*CG137*CJ137*VLOOKUP('Données projet'!$B$12,Paramètres!$A$1:$I$89,3,0)*0.475*44/12</f>
        <v>7.2610971376287523E-16</v>
      </c>
      <c r="CN137" s="22">
        <f t="shared" si="120"/>
        <v>0.17540147719461779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1.7053025658242404E-13</v>
      </c>
      <c r="O138" s="13">
        <f>N138*VLOOKUP('Données projet'!$B$9,Paramètres!$A$1:$I$89,3,0)*VLOOKUP('Données projet'!$B$9,Paramètres!$A$1:$I$89,5,0)</f>
        <v>1.250327841262333E-13</v>
      </c>
      <c r="P138" s="13">
        <f t="shared" si="141"/>
        <v>1.8301318724634299E-12</v>
      </c>
      <c r="Q138" s="20">
        <f t="shared" si="108"/>
        <v>3.405245110226996E-12</v>
      </c>
      <c r="R138" s="59">
        <f t="shared" si="109"/>
        <v>293.33333333333672</v>
      </c>
      <c r="S138" s="59">
        <f ca="1">AVERAGE(OFFSET($R$3,0,0,'Données projet'!$E$9+1,1))-AVERAGE(OFFSET($H$3,0,0,'Données projet'!$E$9+1,1))</f>
        <v>193.60868637458515</v>
      </c>
      <c r="T138" s="59">
        <f t="shared" si="142"/>
        <v>272.97841038165217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-1.7053025658242404E-13</v>
      </c>
      <c r="AJ138" s="13">
        <f>AI138*VLOOKUP('Données projet'!$B$10,Paramètres!$A$1:$I$89,3,0)*VLOOKUP('Données projet'!$B$10,Paramètres!$A$1:$I$89,5,0)</f>
        <v>-1.3567387213697657E-13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238.56893947183841</v>
      </c>
      <c r="AO138" s="59">
        <f t="shared" si="144"/>
        <v>292.57799203101769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-1.0286385077051818E-13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277.20405719540543</v>
      </c>
      <c r="BJ138" s="59">
        <f t="shared" si="146"/>
        <v>231.36959598460686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4.4337866711430253E-14</v>
      </c>
      <c r="CA138" s="13">
        <f t="shared" si="147"/>
        <v>7.3222115536967035E-13</v>
      </c>
      <c r="CB138" s="20">
        <f t="shared" si="118"/>
        <v>1.3525069634579169E-12</v>
      </c>
      <c r="CC138" s="59">
        <f t="shared" si="119"/>
        <v>293.33333333333468</v>
      </c>
      <c r="CD138" s="59">
        <f ca="1">AVERAGE(OFFSET($CC$3,0,0,'Données projet'!$E$12+1,1))-AVERAGE(OFFSET($H$3,0,0,'Données projet'!$E$12+1,1))</f>
        <v>288.82868507674738</v>
      </c>
      <c r="CE138" s="59">
        <f t="shared" si="148"/>
        <v>283.48738729114024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0.17060511457676747</v>
      </c>
      <c r="CM138" s="21">
        <f>EXP(-LN(2)/2)*CM137+(1-EXP(-LN(2)/2))/(LN(2)/2)*CG138*CJ138*VLOOKUP('Données projet'!$B$12,Paramètres!$A$1:$I$89,3,0)*0.475*44/12</f>
        <v>5.1343710248715206E-16</v>
      </c>
      <c r="CN138" s="22">
        <f t="shared" si="120"/>
        <v>0.17060511457676797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1.7053025658242404E-13</v>
      </c>
      <c r="O139" s="13">
        <f>N139*VLOOKUP('Données projet'!$B$9,Paramètres!$A$1:$I$89,3,0)*VLOOKUP('Données projet'!$B$9,Paramètres!$A$1:$I$89,5,0)</f>
        <v>1.250327841262333E-13</v>
      </c>
      <c r="P139" s="13">
        <f t="shared" si="141"/>
        <v>1.8301318724634299E-12</v>
      </c>
      <c r="Q139" s="20">
        <f t="shared" si="108"/>
        <v>3.405245110226996E-12</v>
      </c>
      <c r="R139" s="59">
        <f t="shared" si="109"/>
        <v>293.33333333333672</v>
      </c>
      <c r="S139" s="59">
        <f ca="1">AVERAGE(OFFSET($R$3,0,0,'Données projet'!$E$9+1,1))-AVERAGE(OFFSET($H$3,0,0,'Données projet'!$E$9+1,1))</f>
        <v>193.60868637458515</v>
      </c>
      <c r="T139" s="59">
        <f t="shared" si="142"/>
        <v>272.97841038165217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-1.7053025658242404E-13</v>
      </c>
      <c r="AJ139" s="13">
        <f>AI139*VLOOKUP('Données projet'!$B$10,Paramètres!$A$1:$I$89,3,0)*VLOOKUP('Données projet'!$B$10,Paramètres!$A$1:$I$89,5,0)</f>
        <v>-1.3567387213697657E-13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238.56893947183841</v>
      </c>
      <c r="AO139" s="59">
        <f t="shared" si="144"/>
        <v>292.57799203101769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-1.0286385077051818E-13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277.20405719540543</v>
      </c>
      <c r="BJ139" s="59">
        <f t="shared" si="146"/>
        <v>231.36959598460686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4.4337866711430253E-14</v>
      </c>
      <c r="CA139" s="13">
        <f t="shared" si="147"/>
        <v>7.3222115536967035E-13</v>
      </c>
      <c r="CB139" s="20">
        <f t="shared" si="118"/>
        <v>1.3525069634579169E-12</v>
      </c>
      <c r="CC139" s="59">
        <f t="shared" si="119"/>
        <v>293.33333333333468</v>
      </c>
      <c r="CD139" s="59">
        <f ca="1">AVERAGE(OFFSET($CC$3,0,0,'Données projet'!$E$12+1,1))-AVERAGE(OFFSET($H$3,0,0,'Données projet'!$E$12+1,1))</f>
        <v>288.82868507674738</v>
      </c>
      <c r="CE139" s="59">
        <f t="shared" si="148"/>
        <v>283.48738729114024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0.16593990874693271</v>
      </c>
      <c r="CM139" s="21">
        <f>EXP(-LN(2)/2)*CM138+(1-EXP(-LN(2)/2))/(LN(2)/2)*CG139*CJ139*VLOOKUP('Données projet'!$B$12,Paramètres!$A$1:$I$89,3,0)*0.475*44/12</f>
        <v>3.6305485688143761E-16</v>
      </c>
      <c r="CN139" s="22">
        <f t="shared" si="120"/>
        <v>0.16593990874693307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1.7053025658242404E-13</v>
      </c>
      <c r="O140" s="13">
        <f>N140*VLOOKUP('Données projet'!$B$9,Paramètres!$A$1:$I$89,3,0)*VLOOKUP('Données projet'!$B$9,Paramètres!$A$1:$I$89,5,0)</f>
        <v>1.250327841262333E-13</v>
      </c>
      <c r="P140" s="13">
        <f t="shared" si="141"/>
        <v>1.8301318724634299E-12</v>
      </c>
      <c r="Q140" s="20">
        <f t="shared" si="108"/>
        <v>3.405245110226996E-12</v>
      </c>
      <c r="R140" s="59">
        <f t="shared" si="109"/>
        <v>293.33333333333672</v>
      </c>
      <c r="S140" s="59">
        <f ca="1">AVERAGE(OFFSET($R$3,0,0,'Données projet'!$E$9+1,1))-AVERAGE(OFFSET($H$3,0,0,'Données projet'!$E$9+1,1))</f>
        <v>193.60868637458515</v>
      </c>
      <c r="T140" s="59">
        <f t="shared" si="142"/>
        <v>272.97841038165217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-1.7053025658242404E-13</v>
      </c>
      <c r="AJ140" s="13">
        <f>AI140*VLOOKUP('Données projet'!$B$10,Paramètres!$A$1:$I$89,3,0)*VLOOKUP('Données projet'!$B$10,Paramètres!$A$1:$I$89,5,0)</f>
        <v>-1.3567387213697657E-13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238.56893947183841</v>
      </c>
      <c r="AO140" s="59">
        <f t="shared" si="144"/>
        <v>292.57799203101769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-1.0286385077051818E-13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277.20405719540543</v>
      </c>
      <c r="BJ140" s="59">
        <f t="shared" si="146"/>
        <v>231.36959598460686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4.4337866711430253E-14</v>
      </c>
      <c r="CA140" s="13">
        <f t="shared" si="147"/>
        <v>7.3222115536967035E-13</v>
      </c>
      <c r="CB140" s="20">
        <f t="shared" si="118"/>
        <v>1.3525069634579169E-12</v>
      </c>
      <c r="CC140" s="59">
        <f t="shared" si="119"/>
        <v>293.33333333333468</v>
      </c>
      <c r="CD140" s="59">
        <f ca="1">AVERAGE(OFFSET($CC$3,0,0,'Données projet'!$E$12+1,1))-AVERAGE(OFFSET($H$3,0,0,'Données projet'!$E$12+1,1))</f>
        <v>288.82868507674738</v>
      </c>
      <c r="CE140" s="59">
        <f t="shared" si="148"/>
        <v>283.48738729114024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0.1614022732158473</v>
      </c>
      <c r="CM140" s="21">
        <f>EXP(-LN(2)/2)*CM139+(1-EXP(-LN(2)/2))/(LN(2)/2)*CG140*CJ140*VLOOKUP('Données projet'!$B$12,Paramètres!$A$1:$I$89,3,0)*0.475*44/12</f>
        <v>2.5671855124357603E-16</v>
      </c>
      <c r="CN140" s="22">
        <f t="shared" si="120"/>
        <v>0.16140227321584755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1.7053025658242404E-13</v>
      </c>
      <c r="O141" s="13">
        <f>N141*VLOOKUP('Données projet'!$B$9,Paramètres!$A$1:$I$89,3,0)*VLOOKUP('Données projet'!$B$9,Paramètres!$A$1:$I$89,5,0)</f>
        <v>1.250327841262333E-13</v>
      </c>
      <c r="P141" s="13">
        <f t="shared" si="141"/>
        <v>1.8301318724634299E-12</v>
      </c>
      <c r="Q141" s="20">
        <f t="shared" si="108"/>
        <v>3.405245110226996E-12</v>
      </c>
      <c r="R141" s="59">
        <f t="shared" si="109"/>
        <v>293.33333333333672</v>
      </c>
      <c r="S141" s="59">
        <f ca="1">AVERAGE(OFFSET($R$3,0,0,'Données projet'!$E$9+1,1))-AVERAGE(OFFSET($H$3,0,0,'Données projet'!$E$9+1,1))</f>
        <v>193.60868637458515</v>
      </c>
      <c r="T141" s="59">
        <f t="shared" si="142"/>
        <v>272.97841038165217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-1.7053025658242404E-13</v>
      </c>
      <c r="AJ141" s="13">
        <f>AI141*VLOOKUP('Données projet'!$B$10,Paramètres!$A$1:$I$89,3,0)*VLOOKUP('Données projet'!$B$10,Paramètres!$A$1:$I$89,5,0)</f>
        <v>-1.3567387213697657E-13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238.56893947183841</v>
      </c>
      <c r="AO141" s="59">
        <f t="shared" si="144"/>
        <v>292.57799203101769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-1.0286385077051818E-13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277.20405719540543</v>
      </c>
      <c r="BJ141" s="59">
        <f t="shared" si="146"/>
        <v>231.36959598460686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4.4337866711430253E-14</v>
      </c>
      <c r="CA141" s="13">
        <f t="shared" si="147"/>
        <v>7.3222115536967035E-13</v>
      </c>
      <c r="CB141" s="20">
        <f t="shared" si="118"/>
        <v>1.3525069634579169E-12</v>
      </c>
      <c r="CC141" s="59">
        <f t="shared" si="119"/>
        <v>293.33333333333468</v>
      </c>
      <c r="CD141" s="59">
        <f ca="1">AVERAGE(OFFSET($CC$3,0,0,'Données projet'!$E$12+1,1))-AVERAGE(OFFSET($H$3,0,0,'Données projet'!$E$12+1,1))</f>
        <v>288.82868507674738</v>
      </c>
      <c r="CE141" s="59">
        <f t="shared" si="148"/>
        <v>283.48738729114024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0.15698871956698329</v>
      </c>
      <c r="CM141" s="21">
        <f>EXP(-LN(2)/2)*CM140+(1-EXP(-LN(2)/2))/(LN(2)/2)*CG141*CJ141*VLOOKUP('Données projet'!$B$12,Paramètres!$A$1:$I$89,3,0)*0.475*44/12</f>
        <v>1.8152742844071881E-16</v>
      </c>
      <c r="CN141" s="22">
        <f t="shared" si="120"/>
        <v>0.15698871956698349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1.7053025658242404E-13</v>
      </c>
      <c r="O142" s="13">
        <f>N142*VLOOKUP('Données projet'!$B$9,Paramètres!$A$1:$I$89,3,0)*VLOOKUP('Données projet'!$B$9,Paramètres!$A$1:$I$89,5,0)</f>
        <v>1.250327841262333E-13</v>
      </c>
      <c r="P142" s="13">
        <f t="shared" si="141"/>
        <v>1.8301318724634299E-12</v>
      </c>
      <c r="Q142" s="20">
        <f t="shared" si="108"/>
        <v>3.405245110226996E-12</v>
      </c>
      <c r="R142" s="59">
        <f t="shared" si="109"/>
        <v>293.33333333333672</v>
      </c>
      <c r="S142" s="59">
        <f ca="1">AVERAGE(OFFSET($R$3,0,0,'Données projet'!$E$9+1,1))-AVERAGE(OFFSET($H$3,0,0,'Données projet'!$E$9+1,1))</f>
        <v>193.60868637458515</v>
      </c>
      <c r="T142" s="59">
        <f t="shared" si="142"/>
        <v>272.97841038165217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-1.7053025658242404E-13</v>
      </c>
      <c r="AJ142" s="13">
        <f>AI142*VLOOKUP('Données projet'!$B$10,Paramètres!$A$1:$I$89,3,0)*VLOOKUP('Données projet'!$B$10,Paramètres!$A$1:$I$89,5,0)</f>
        <v>-1.3567387213697657E-13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238.56893947183841</v>
      </c>
      <c r="AO142" s="59">
        <f t="shared" si="144"/>
        <v>292.57799203101769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-1.0286385077051818E-13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277.20405719540543</v>
      </c>
      <c r="BJ142" s="59">
        <f t="shared" si="146"/>
        <v>231.36959598460686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4.4337866711430253E-14</v>
      </c>
      <c r="CA142" s="13">
        <f t="shared" si="147"/>
        <v>7.3222115536967035E-13</v>
      </c>
      <c r="CB142" s="20">
        <f t="shared" si="118"/>
        <v>1.3525069634579169E-12</v>
      </c>
      <c r="CC142" s="59">
        <f t="shared" si="119"/>
        <v>293.33333333333468</v>
      </c>
      <c r="CD142" s="59">
        <f ca="1">AVERAGE(OFFSET($CC$3,0,0,'Données projet'!$E$12+1,1))-AVERAGE(OFFSET($H$3,0,0,'Données projet'!$E$12+1,1))</f>
        <v>288.82868507674738</v>
      </c>
      <c r="CE142" s="59">
        <f t="shared" si="148"/>
        <v>283.48738729114024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0.15269585477474618</v>
      </c>
      <c r="CM142" s="21">
        <f>EXP(-LN(2)/2)*CM141+(1-EXP(-LN(2)/2))/(LN(2)/2)*CG142*CJ142*VLOOKUP('Données projet'!$B$12,Paramètres!$A$1:$I$89,3,0)*0.475*44/12</f>
        <v>1.2835927562178802E-16</v>
      </c>
      <c r="CN142" s="22">
        <f t="shared" si="120"/>
        <v>0.15269585477474631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1.7053025658242404E-13</v>
      </c>
      <c r="O143" s="13">
        <f>N143*VLOOKUP('Données projet'!$B$9,Paramètres!$A$1:$I$89,3,0)*VLOOKUP('Données projet'!$B$9,Paramètres!$A$1:$I$89,5,0)</f>
        <v>1.250327841262333E-13</v>
      </c>
      <c r="P143" s="13">
        <f t="shared" si="141"/>
        <v>1.8301318724634299E-12</v>
      </c>
      <c r="Q143" s="20">
        <f t="shared" si="108"/>
        <v>3.405245110226996E-12</v>
      </c>
      <c r="R143" s="59">
        <f t="shared" si="109"/>
        <v>293.33333333333672</v>
      </c>
      <c r="S143" s="59">
        <f ca="1">AVERAGE(OFFSET($R$3,0,0,'Données projet'!$E$9+1,1))-AVERAGE(OFFSET($H$3,0,0,'Données projet'!$E$9+1,1))</f>
        <v>193.60868637458515</v>
      </c>
      <c r="T143" s="59">
        <f t="shared" si="142"/>
        <v>272.97841038165217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-1.7053025658242404E-13</v>
      </c>
      <c r="AJ143" s="13">
        <f>AI143*VLOOKUP('Données projet'!$B$10,Paramètres!$A$1:$I$89,3,0)*VLOOKUP('Données projet'!$B$10,Paramètres!$A$1:$I$89,5,0)</f>
        <v>-1.3567387213697657E-13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238.56893947183841</v>
      </c>
      <c r="AO143" s="59">
        <f t="shared" si="144"/>
        <v>292.57799203101769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-1.0286385077051818E-13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277.20405719540543</v>
      </c>
      <c r="BJ143" s="59">
        <f t="shared" si="146"/>
        <v>231.36959598460686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4.4337866711430253E-14</v>
      </c>
      <c r="CA143" s="13">
        <f t="shared" si="147"/>
        <v>7.3222115536967035E-13</v>
      </c>
      <c r="CB143" s="20">
        <f t="shared" si="118"/>
        <v>1.3525069634579169E-12</v>
      </c>
      <c r="CC143" s="59">
        <f t="shared" si="119"/>
        <v>293.33333333333468</v>
      </c>
      <c r="CD143" s="59">
        <f ca="1">AVERAGE(OFFSET($CC$3,0,0,'Données projet'!$E$12+1,1))-AVERAGE(OFFSET($H$3,0,0,'Données projet'!$E$12+1,1))</f>
        <v>288.82868507674738</v>
      </c>
      <c r="CE143" s="59">
        <f t="shared" si="148"/>
        <v>283.48738729114024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0.14852037859600473</v>
      </c>
      <c r="CM143" s="21">
        <f>EXP(-LN(2)/2)*CM142+(1-EXP(-LN(2)/2))/(LN(2)/2)*CG143*CJ143*VLOOKUP('Données projet'!$B$12,Paramètres!$A$1:$I$89,3,0)*0.475*44/12</f>
        <v>9.0763714220359403E-17</v>
      </c>
      <c r="CN143" s="22">
        <f t="shared" si="120"/>
        <v>0.14852037859600481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1.7053025658242404E-13</v>
      </c>
      <c r="O144" s="13">
        <f>N144*VLOOKUP('Données projet'!$B$9,Paramètres!$A$1:$I$89,3,0)*VLOOKUP('Données projet'!$B$9,Paramètres!$A$1:$I$89,5,0)</f>
        <v>1.250327841262333E-13</v>
      </c>
      <c r="P144" s="13">
        <f t="shared" si="141"/>
        <v>1.8301318724634299E-12</v>
      </c>
      <c r="Q144" s="20">
        <f t="shared" si="108"/>
        <v>3.405245110226996E-12</v>
      </c>
      <c r="R144" s="59">
        <f t="shared" si="109"/>
        <v>293.33333333333672</v>
      </c>
      <c r="S144" s="59">
        <f ca="1">AVERAGE(OFFSET($R$3,0,0,'Données projet'!$E$9+1,1))-AVERAGE(OFFSET($H$3,0,0,'Données projet'!$E$9+1,1))</f>
        <v>193.60868637458515</v>
      </c>
      <c r="T144" s="59">
        <f t="shared" si="142"/>
        <v>272.97841038165217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-1.7053025658242404E-13</v>
      </c>
      <c r="AJ144" s="13">
        <f>AI144*VLOOKUP('Données projet'!$B$10,Paramètres!$A$1:$I$89,3,0)*VLOOKUP('Données projet'!$B$10,Paramètres!$A$1:$I$89,5,0)</f>
        <v>-1.3567387213697657E-13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238.56893947183841</v>
      </c>
      <c r="AO144" s="59">
        <f t="shared" si="144"/>
        <v>292.57799203101769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-1.0286385077051818E-13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277.20405719540543</v>
      </c>
      <c r="BJ144" s="59">
        <f t="shared" si="146"/>
        <v>231.36959598460686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4.4337866711430253E-14</v>
      </c>
      <c r="CA144" s="13">
        <f t="shared" si="147"/>
        <v>7.3222115536967035E-13</v>
      </c>
      <c r="CB144" s="20">
        <f t="shared" si="118"/>
        <v>1.3525069634579169E-12</v>
      </c>
      <c r="CC144" s="59">
        <f t="shared" si="119"/>
        <v>293.33333333333468</v>
      </c>
      <c r="CD144" s="59">
        <f ca="1">AVERAGE(OFFSET($CC$3,0,0,'Données projet'!$E$12+1,1))-AVERAGE(OFFSET($H$3,0,0,'Données projet'!$E$12+1,1))</f>
        <v>288.82868507674738</v>
      </c>
      <c r="CE144" s="59">
        <f t="shared" si="148"/>
        <v>283.48738729114024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0.14445908103294972</v>
      </c>
      <c r="CM144" s="21">
        <f>EXP(-LN(2)/2)*CM143+(1-EXP(-LN(2)/2))/(LN(2)/2)*CG144*CJ144*VLOOKUP('Données projet'!$B$12,Paramètres!$A$1:$I$89,3,0)*0.475*44/12</f>
        <v>6.4179637810894008E-17</v>
      </c>
      <c r="CN144" s="22">
        <f t="shared" si="120"/>
        <v>0.14445908103294977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1.7053025658242404E-13</v>
      </c>
      <c r="O145" s="13">
        <f>N145*VLOOKUP('Données projet'!$B$9,Paramètres!$A$1:$I$89,3,0)*VLOOKUP('Données projet'!$B$9,Paramètres!$A$1:$I$89,5,0)</f>
        <v>1.250327841262333E-13</v>
      </c>
      <c r="P145" s="13">
        <f t="shared" si="141"/>
        <v>1.8301318724634299E-12</v>
      </c>
      <c r="Q145" s="20">
        <f t="shared" si="108"/>
        <v>3.405245110226996E-12</v>
      </c>
      <c r="R145" s="59">
        <f t="shared" si="109"/>
        <v>293.33333333333672</v>
      </c>
      <c r="S145" s="59">
        <f ca="1">AVERAGE(OFFSET($R$3,0,0,'Données projet'!$E$9+1,1))-AVERAGE(OFFSET($H$3,0,0,'Données projet'!$E$9+1,1))</f>
        <v>193.60868637458515</v>
      </c>
      <c r="T145" s="59">
        <f t="shared" si="142"/>
        <v>272.97841038165217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-1.7053025658242404E-13</v>
      </c>
      <c r="AJ145" s="13">
        <f>AI145*VLOOKUP('Données projet'!$B$10,Paramètres!$A$1:$I$89,3,0)*VLOOKUP('Données projet'!$B$10,Paramètres!$A$1:$I$89,5,0)</f>
        <v>-1.3567387213697657E-13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238.56893947183841</v>
      </c>
      <c r="AO145" s="59">
        <f t="shared" si="144"/>
        <v>292.57799203101769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-1.0286385077051818E-13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277.20405719540543</v>
      </c>
      <c r="BJ145" s="59">
        <f t="shared" si="146"/>
        <v>231.36959598460686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4.4337866711430253E-14</v>
      </c>
      <c r="CA145" s="13">
        <f t="shared" si="147"/>
        <v>7.3222115536967035E-13</v>
      </c>
      <c r="CB145" s="20">
        <f t="shared" si="118"/>
        <v>1.3525069634579169E-12</v>
      </c>
      <c r="CC145" s="59">
        <f t="shared" si="119"/>
        <v>293.33333333333468</v>
      </c>
      <c r="CD145" s="59">
        <f ca="1">AVERAGE(OFFSET($CC$3,0,0,'Données projet'!$E$12+1,1))-AVERAGE(OFFSET($H$3,0,0,'Données projet'!$E$12+1,1))</f>
        <v>288.82868507674738</v>
      </c>
      <c r="CE145" s="59">
        <f t="shared" si="148"/>
        <v>283.48738729114024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0.1405088398653308</v>
      </c>
      <c r="CM145" s="21">
        <f>EXP(-LN(2)/2)*CM144+(1-EXP(-LN(2)/2))/(LN(2)/2)*CG145*CJ145*VLOOKUP('Données projet'!$B$12,Paramètres!$A$1:$I$89,3,0)*0.475*44/12</f>
        <v>4.5381857110179702E-17</v>
      </c>
      <c r="CN145" s="22">
        <f t="shared" si="120"/>
        <v>0.14050883986533086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1.7053025658242404E-13</v>
      </c>
      <c r="O146" s="13">
        <f>N146*VLOOKUP('Données projet'!$B$9,Paramètres!$A$1:$I$89,3,0)*VLOOKUP('Données projet'!$B$9,Paramètres!$A$1:$I$89,5,0)</f>
        <v>1.250327841262333E-13</v>
      </c>
      <c r="P146" s="13">
        <f t="shared" si="141"/>
        <v>1.8301318724634299E-12</v>
      </c>
      <c r="Q146" s="20">
        <f t="shared" si="108"/>
        <v>3.405245110226996E-12</v>
      </c>
      <c r="R146" s="59">
        <f t="shared" si="109"/>
        <v>293.33333333333672</v>
      </c>
      <c r="S146" s="59">
        <f ca="1">AVERAGE(OFFSET($R$3,0,0,'Données projet'!$E$9+1,1))-AVERAGE(OFFSET($H$3,0,0,'Données projet'!$E$9+1,1))</f>
        <v>193.60868637458515</v>
      </c>
      <c r="T146" s="59">
        <f t="shared" si="142"/>
        <v>272.97841038165217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-1.7053025658242404E-13</v>
      </c>
      <c r="AJ146" s="13">
        <f>AI146*VLOOKUP('Données projet'!$B$10,Paramètres!$A$1:$I$89,3,0)*VLOOKUP('Données projet'!$B$10,Paramètres!$A$1:$I$89,5,0)</f>
        <v>-1.3567387213697657E-13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238.56893947183841</v>
      </c>
      <c r="AO146" s="59">
        <f t="shared" si="144"/>
        <v>292.57799203101769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-1.0286385077051818E-13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277.20405719540543</v>
      </c>
      <c r="BJ146" s="59">
        <f t="shared" si="146"/>
        <v>231.36959598460686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4.4337866711430253E-14</v>
      </c>
      <c r="CA146" s="13">
        <f t="shared" si="147"/>
        <v>7.3222115536967035E-13</v>
      </c>
      <c r="CB146" s="20">
        <f t="shared" si="118"/>
        <v>1.3525069634579169E-12</v>
      </c>
      <c r="CC146" s="59">
        <f t="shared" si="119"/>
        <v>293.33333333333468</v>
      </c>
      <c r="CD146" s="59">
        <f ca="1">AVERAGE(OFFSET($CC$3,0,0,'Données projet'!$E$12+1,1))-AVERAGE(OFFSET($H$3,0,0,'Données projet'!$E$12+1,1))</f>
        <v>288.82868507674738</v>
      </c>
      <c r="CE146" s="59">
        <f t="shared" si="148"/>
        <v>283.48738729114024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0.13666661825017459</v>
      </c>
      <c r="CM146" s="21">
        <f>EXP(-LN(2)/2)*CM145+(1-EXP(-LN(2)/2))/(LN(2)/2)*CG146*CJ146*VLOOKUP('Données projet'!$B$12,Paramètres!$A$1:$I$89,3,0)*0.475*44/12</f>
        <v>3.2089818905447004E-17</v>
      </c>
      <c r="CN146" s="22">
        <f t="shared" si="120"/>
        <v>0.13666661825017462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1.7053025658242404E-13</v>
      </c>
      <c r="O147" s="13">
        <f>N147*VLOOKUP('Données projet'!$B$9,Paramètres!$A$1:$I$89,3,0)*VLOOKUP('Données projet'!$B$9,Paramètres!$A$1:$I$89,5,0)</f>
        <v>1.250327841262333E-13</v>
      </c>
      <c r="P147" s="13">
        <f t="shared" si="141"/>
        <v>1.8301318724634299E-12</v>
      </c>
      <c r="Q147" s="20">
        <f t="shared" si="108"/>
        <v>3.405245110226996E-12</v>
      </c>
      <c r="R147" s="59">
        <f t="shared" si="109"/>
        <v>293.33333333333672</v>
      </c>
      <c r="S147" s="59">
        <f ca="1">AVERAGE(OFFSET($R$3,0,0,'Données projet'!$E$9+1,1))-AVERAGE(OFFSET($H$3,0,0,'Données projet'!$E$9+1,1))</f>
        <v>193.60868637458515</v>
      </c>
      <c r="T147" s="59">
        <f t="shared" si="142"/>
        <v>272.97841038165217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-1.7053025658242404E-13</v>
      </c>
      <c r="AJ147" s="13">
        <f>AI147*VLOOKUP('Données projet'!$B$10,Paramètres!$A$1:$I$89,3,0)*VLOOKUP('Données projet'!$B$10,Paramètres!$A$1:$I$89,5,0)</f>
        <v>-1.3567387213697657E-13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238.56893947183841</v>
      </c>
      <c r="AO147" s="59">
        <f t="shared" si="144"/>
        <v>292.57799203101769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-1.0286385077051818E-13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277.20405719540543</v>
      </c>
      <c r="BJ147" s="59">
        <f t="shared" si="146"/>
        <v>231.36959598460686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4.4337866711430253E-14</v>
      </c>
      <c r="CA147" s="13">
        <f t="shared" si="147"/>
        <v>7.3222115536967035E-13</v>
      </c>
      <c r="CB147" s="20">
        <f t="shared" si="118"/>
        <v>1.3525069634579169E-12</v>
      </c>
      <c r="CC147" s="59">
        <f t="shared" si="119"/>
        <v>293.33333333333468</v>
      </c>
      <c r="CD147" s="59">
        <f ca="1">AVERAGE(OFFSET($CC$3,0,0,'Données projet'!$E$12+1,1))-AVERAGE(OFFSET($H$3,0,0,'Données projet'!$E$12+1,1))</f>
        <v>288.82868507674738</v>
      </c>
      <c r="CE147" s="59">
        <f t="shared" si="148"/>
        <v>283.48738729114024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0.13292946238713846</v>
      </c>
      <c r="CM147" s="21">
        <f>EXP(-LN(2)/2)*CM146+(1-EXP(-LN(2)/2))/(LN(2)/2)*CG147*CJ147*VLOOKUP('Données projet'!$B$12,Paramètres!$A$1:$I$89,3,0)*0.475*44/12</f>
        <v>2.2690928555089851E-17</v>
      </c>
      <c r="CN147" s="22">
        <f t="shared" si="120"/>
        <v>0.13292946238713849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1.7053025658242404E-13</v>
      </c>
      <c r="O148" s="13">
        <f>N148*VLOOKUP('Données projet'!$B$9,Paramètres!$A$1:$I$89,3,0)*VLOOKUP('Données projet'!$B$9,Paramètres!$A$1:$I$89,5,0)</f>
        <v>1.250327841262333E-13</v>
      </c>
      <c r="P148" s="13">
        <f t="shared" si="141"/>
        <v>1.8301318724634299E-12</v>
      </c>
      <c r="Q148" s="20">
        <f t="shared" si="108"/>
        <v>3.405245110226996E-12</v>
      </c>
      <c r="R148" s="59">
        <f t="shared" si="109"/>
        <v>293.33333333333672</v>
      </c>
      <c r="S148" s="59">
        <f ca="1">AVERAGE(OFFSET($R$3,0,0,'Données projet'!$E$9+1,1))-AVERAGE(OFFSET($H$3,0,0,'Données projet'!$E$9+1,1))</f>
        <v>193.60868637458515</v>
      </c>
      <c r="T148" s="59">
        <f t="shared" si="142"/>
        <v>272.97841038165217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-1.7053025658242404E-13</v>
      </c>
      <c r="AJ148" s="13">
        <f>AI148*VLOOKUP('Données projet'!$B$10,Paramètres!$A$1:$I$89,3,0)*VLOOKUP('Données projet'!$B$10,Paramètres!$A$1:$I$89,5,0)</f>
        <v>-1.3567387213697657E-13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238.56893947183841</v>
      </c>
      <c r="AO148" s="59">
        <f t="shared" si="144"/>
        <v>292.57799203101769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-1.0286385077051818E-13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277.20405719540543</v>
      </c>
      <c r="BJ148" s="59">
        <f t="shared" si="146"/>
        <v>231.36959598460686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4.4337866711430253E-14</v>
      </c>
      <c r="CA148" s="13">
        <f t="shared" si="147"/>
        <v>7.3222115536967035E-13</v>
      </c>
      <c r="CB148" s="20">
        <f t="shared" si="118"/>
        <v>1.3525069634579169E-12</v>
      </c>
      <c r="CC148" s="59">
        <f t="shared" si="119"/>
        <v>293.33333333333468</v>
      </c>
      <c r="CD148" s="59">
        <f ca="1">AVERAGE(OFFSET($CC$3,0,0,'Données projet'!$E$12+1,1))-AVERAGE(OFFSET($H$3,0,0,'Données projet'!$E$12+1,1))</f>
        <v>288.82868507674738</v>
      </c>
      <c r="CE148" s="59">
        <f t="shared" si="148"/>
        <v>283.48738729114024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0.12929449924770556</v>
      </c>
      <c r="CM148" s="21">
        <f>EXP(-LN(2)/2)*CM147+(1-EXP(-LN(2)/2))/(LN(2)/2)*CG148*CJ148*VLOOKUP('Données projet'!$B$12,Paramètres!$A$1:$I$89,3,0)*0.475*44/12</f>
        <v>1.6044909452723502E-17</v>
      </c>
      <c r="CN148" s="22">
        <f t="shared" si="120"/>
        <v>0.12929449924770559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1.7053025658242404E-13</v>
      </c>
      <c r="O149" s="13">
        <f>N149*VLOOKUP('Données projet'!$B$9,Paramètres!$A$1:$I$89,3,0)*VLOOKUP('Données projet'!$B$9,Paramètres!$A$1:$I$89,5,0)</f>
        <v>1.250327841262333E-13</v>
      </c>
      <c r="P149" s="13">
        <f t="shared" si="141"/>
        <v>1.8301318724634299E-12</v>
      </c>
      <c r="Q149" s="20">
        <f t="shared" si="108"/>
        <v>3.405245110226996E-12</v>
      </c>
      <c r="R149" s="59">
        <f t="shared" si="109"/>
        <v>293.33333333333672</v>
      </c>
      <c r="S149" s="59">
        <f ca="1">AVERAGE(OFFSET($R$3,0,0,'Données projet'!$E$9+1,1))-AVERAGE(OFFSET($H$3,0,0,'Données projet'!$E$9+1,1))</f>
        <v>193.60868637458515</v>
      </c>
      <c r="T149" s="59">
        <f t="shared" si="142"/>
        <v>272.97841038165217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-1.7053025658242404E-13</v>
      </c>
      <c r="AJ149" s="13">
        <f>AI149*VLOOKUP('Données projet'!$B$10,Paramètres!$A$1:$I$89,3,0)*VLOOKUP('Données projet'!$B$10,Paramètres!$A$1:$I$89,5,0)</f>
        <v>-1.3567387213697657E-13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238.56893947183841</v>
      </c>
      <c r="AO149" s="59">
        <f t="shared" si="144"/>
        <v>292.57799203101769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-1.0286385077051818E-13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277.20405719540543</v>
      </c>
      <c r="BJ149" s="59">
        <f t="shared" si="146"/>
        <v>231.36959598460686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4.4337866711430253E-14</v>
      </c>
      <c r="CA149" s="13">
        <f t="shared" si="147"/>
        <v>7.3222115536967035E-13</v>
      </c>
      <c r="CB149" s="20">
        <f t="shared" si="118"/>
        <v>1.3525069634579169E-12</v>
      </c>
      <c r="CC149" s="59">
        <f t="shared" si="119"/>
        <v>293.33333333333468</v>
      </c>
      <c r="CD149" s="59">
        <f ca="1">AVERAGE(OFFSET($CC$3,0,0,'Données projet'!$E$12+1,1))-AVERAGE(OFFSET($H$3,0,0,'Données projet'!$E$12+1,1))</f>
        <v>288.82868507674738</v>
      </c>
      <c r="CE149" s="59">
        <f t="shared" si="148"/>
        <v>283.48738729114024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0.12575893436647484</v>
      </c>
      <c r="CM149" s="21">
        <f>EXP(-LN(2)/2)*CM148+(1-EXP(-LN(2)/2))/(LN(2)/2)*CG149*CJ149*VLOOKUP('Données projet'!$B$12,Paramètres!$A$1:$I$89,3,0)*0.475*44/12</f>
        <v>1.1345464277544925E-17</v>
      </c>
      <c r="CN149" s="22">
        <f t="shared" si="120"/>
        <v>0.12575893436647484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1.7053025658242404E-13</v>
      </c>
      <c r="O150" s="13">
        <f>N150*VLOOKUP('Données projet'!$B$9,Paramètres!$A$1:$I$89,3,0)*VLOOKUP('Données projet'!$B$9,Paramètres!$A$1:$I$89,5,0)</f>
        <v>1.250327841262333E-13</v>
      </c>
      <c r="P150" s="13">
        <f t="shared" si="141"/>
        <v>1.8301318724634299E-12</v>
      </c>
      <c r="Q150" s="20">
        <f t="shared" si="108"/>
        <v>3.405245110226996E-12</v>
      </c>
      <c r="R150" s="59">
        <f t="shared" si="109"/>
        <v>293.33333333333672</v>
      </c>
      <c r="S150" s="59">
        <f ca="1">AVERAGE(OFFSET($R$3,0,0,'Données projet'!$E$9+1,1))-AVERAGE(OFFSET($H$3,0,0,'Données projet'!$E$9+1,1))</f>
        <v>193.60868637458515</v>
      </c>
      <c r="T150" s="59">
        <f t="shared" si="142"/>
        <v>272.97841038165217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-1.7053025658242404E-13</v>
      </c>
      <c r="AJ150" s="13">
        <f>AI150*VLOOKUP('Données projet'!$B$10,Paramètres!$A$1:$I$89,3,0)*VLOOKUP('Données projet'!$B$10,Paramètres!$A$1:$I$89,5,0)</f>
        <v>-1.3567387213697657E-13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238.56893947183841</v>
      </c>
      <c r="AO150" s="59">
        <f t="shared" si="144"/>
        <v>292.57799203101769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-1.0286385077051818E-13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277.20405719540543</v>
      </c>
      <c r="BJ150" s="59">
        <f t="shared" si="146"/>
        <v>231.36959598460686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4.4337866711430253E-14</v>
      </c>
      <c r="CA150" s="13">
        <f t="shared" si="147"/>
        <v>7.3222115536967035E-13</v>
      </c>
      <c r="CB150" s="20">
        <f t="shared" si="118"/>
        <v>1.3525069634579169E-12</v>
      </c>
      <c r="CC150" s="59">
        <f t="shared" si="119"/>
        <v>293.33333333333468</v>
      </c>
      <c r="CD150" s="59">
        <f ca="1">AVERAGE(OFFSET($CC$3,0,0,'Données projet'!$E$12+1,1))-AVERAGE(OFFSET($H$3,0,0,'Données projet'!$E$12+1,1))</f>
        <v>288.82868507674738</v>
      </c>
      <c r="CE150" s="59">
        <f t="shared" si="148"/>
        <v>283.48738729114024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0.12232004969284865</v>
      </c>
      <c r="CM150" s="21">
        <f>EXP(-LN(2)/2)*CM149+(1-EXP(-LN(2)/2))/(LN(2)/2)*CG150*CJ150*VLOOKUP('Données projet'!$B$12,Paramètres!$A$1:$I$89,3,0)*0.475*44/12</f>
        <v>8.022454726361751E-18</v>
      </c>
      <c r="CN150" s="22">
        <f t="shared" si="120"/>
        <v>0.12232004969284867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1.7053025658242404E-13</v>
      </c>
      <c r="O151" s="13">
        <f>N151*VLOOKUP('Données projet'!$B$9,Paramètres!$A$1:$I$89,3,0)*VLOOKUP('Données projet'!$B$9,Paramètres!$A$1:$I$89,5,0)</f>
        <v>1.250327841262333E-13</v>
      </c>
      <c r="P151" s="13">
        <f t="shared" si="141"/>
        <v>1.8301318724634299E-12</v>
      </c>
      <c r="Q151" s="20">
        <f t="shared" si="108"/>
        <v>3.405245110226996E-12</v>
      </c>
      <c r="R151" s="59">
        <f t="shared" si="109"/>
        <v>293.33333333333672</v>
      </c>
      <c r="S151" s="59">
        <f ca="1">AVERAGE(OFFSET($R$3,0,0,'Données projet'!$E$9+1,1))-AVERAGE(OFFSET($H$3,0,0,'Données projet'!$E$9+1,1))</f>
        <v>193.60868637458515</v>
      </c>
      <c r="T151" s="59">
        <f t="shared" si="142"/>
        <v>272.97841038165217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-1.7053025658242404E-13</v>
      </c>
      <c r="AJ151" s="13">
        <f>AI151*VLOOKUP('Données projet'!$B$10,Paramètres!$A$1:$I$89,3,0)*VLOOKUP('Données projet'!$B$10,Paramètres!$A$1:$I$89,5,0)</f>
        <v>-1.3567387213697657E-13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238.56893947183841</v>
      </c>
      <c r="AO151" s="59">
        <f t="shared" si="144"/>
        <v>292.57799203101769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-1.0286385077051818E-13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277.20405719540543</v>
      </c>
      <c r="BJ151" s="59">
        <f t="shared" si="146"/>
        <v>231.36959598460686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4.4337866711430253E-14</v>
      </c>
      <c r="CA151" s="13">
        <f t="shared" si="147"/>
        <v>7.3222115536967035E-13</v>
      </c>
      <c r="CB151" s="20">
        <f t="shared" si="118"/>
        <v>1.3525069634579169E-12</v>
      </c>
      <c r="CC151" s="59">
        <f t="shared" si="119"/>
        <v>293.33333333333468</v>
      </c>
      <c r="CD151" s="59">
        <f ca="1">AVERAGE(OFFSET($CC$3,0,0,'Données projet'!$E$12+1,1))-AVERAGE(OFFSET($H$3,0,0,'Données projet'!$E$12+1,1))</f>
        <v>288.82868507674738</v>
      </c>
      <c r="CE151" s="59">
        <f t="shared" si="148"/>
        <v>283.48738729114024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0.11897520150146586</v>
      </c>
      <c r="CM151" s="21">
        <f>EXP(-LN(2)/2)*CM150+(1-EXP(-LN(2)/2))/(LN(2)/2)*CG151*CJ151*VLOOKUP('Données projet'!$B$12,Paramètres!$A$1:$I$89,3,0)*0.475*44/12</f>
        <v>5.6727321387724627E-18</v>
      </c>
      <c r="CN151" s="22">
        <f t="shared" si="120"/>
        <v>0.11897520150146586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1.7053025658242404E-13</v>
      </c>
      <c r="O152" s="13">
        <f>N152*VLOOKUP('Données projet'!$B$9,Paramètres!$A$1:$I$89,3,0)*VLOOKUP('Données projet'!$B$9,Paramètres!$A$1:$I$89,5,0)</f>
        <v>1.250327841262333E-13</v>
      </c>
      <c r="P152" s="13">
        <f t="shared" si="141"/>
        <v>1.8301318724634299E-12</v>
      </c>
      <c r="Q152" s="20">
        <f t="shared" si="108"/>
        <v>3.405245110226996E-12</v>
      </c>
      <c r="R152" s="59">
        <f t="shared" si="109"/>
        <v>293.33333333333672</v>
      </c>
      <c r="S152" s="59">
        <f ca="1">AVERAGE(OFFSET($R$3,0,0,'Données projet'!$E$9+1,1))-AVERAGE(OFFSET($H$3,0,0,'Données projet'!$E$9+1,1))</f>
        <v>193.60868637458515</v>
      </c>
      <c r="T152" s="59">
        <f t="shared" si="142"/>
        <v>272.97841038165217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-1.7053025658242404E-13</v>
      </c>
      <c r="AJ152" s="13">
        <f>AI152*VLOOKUP('Données projet'!$B$10,Paramètres!$A$1:$I$89,3,0)*VLOOKUP('Données projet'!$B$10,Paramètres!$A$1:$I$89,5,0)</f>
        <v>-1.3567387213697657E-13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238.56893947183841</v>
      </c>
      <c r="AO152" s="59">
        <f t="shared" si="144"/>
        <v>292.57799203101769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-1.0286385077051818E-13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277.20405719540543</v>
      </c>
      <c r="BJ152" s="59">
        <f t="shared" si="146"/>
        <v>231.36959598460686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4.4337866711430253E-14</v>
      </c>
      <c r="CA152" s="13">
        <f t="shared" si="147"/>
        <v>7.3222115536967035E-13</v>
      </c>
      <c r="CB152" s="20">
        <f t="shared" si="118"/>
        <v>1.3525069634579169E-12</v>
      </c>
      <c r="CC152" s="59">
        <f t="shared" si="119"/>
        <v>293.33333333333468</v>
      </c>
      <c r="CD152" s="59">
        <f ca="1">AVERAGE(OFFSET($CC$3,0,0,'Données projet'!$E$12+1,1))-AVERAGE(OFFSET($H$3,0,0,'Données projet'!$E$12+1,1))</f>
        <v>288.82868507674738</v>
      </c>
      <c r="CE152" s="59">
        <f t="shared" si="148"/>
        <v>283.48738729114024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0.11572181835977435</v>
      </c>
      <c r="CM152" s="21">
        <f>EXP(-LN(2)/2)*CM151+(1-EXP(-LN(2)/2))/(LN(2)/2)*CG152*CJ152*VLOOKUP('Données projet'!$B$12,Paramètres!$A$1:$I$89,3,0)*0.475*44/12</f>
        <v>4.0112273631808755E-18</v>
      </c>
      <c r="CN152" s="22">
        <f t="shared" si="120"/>
        <v>0.11572181835977435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1.7053025658242404E-13</v>
      </c>
      <c r="O153" s="13">
        <f>N153*VLOOKUP('Données projet'!$B$9,Paramètres!$A$1:$I$89,3,0)*VLOOKUP('Données projet'!$B$9,Paramètres!$A$1:$I$89,5,0)</f>
        <v>1.250327841262333E-13</v>
      </c>
      <c r="P153" s="13">
        <f t="shared" si="141"/>
        <v>1.8301318724634299E-12</v>
      </c>
      <c r="Q153" s="20">
        <f t="shared" si="108"/>
        <v>3.405245110226996E-12</v>
      </c>
      <c r="R153" s="59">
        <f t="shared" si="109"/>
        <v>293.33333333333672</v>
      </c>
      <c r="S153" s="59">
        <f ca="1">AVERAGE(OFFSET($R$3,0,0,'Données projet'!$E$9+1,1))-AVERAGE(OFFSET($H$3,0,0,'Données projet'!$E$9+1,1))</f>
        <v>193.60868637458515</v>
      </c>
      <c r="T153" s="59">
        <f t="shared" si="142"/>
        <v>272.97841038165217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-1.7053025658242404E-13</v>
      </c>
      <c r="AJ153" s="13">
        <f>AI153*VLOOKUP('Données projet'!$B$10,Paramètres!$A$1:$I$89,3,0)*VLOOKUP('Données projet'!$B$10,Paramètres!$A$1:$I$89,5,0)</f>
        <v>-1.3567387213697657E-13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238.56893947183841</v>
      </c>
      <c r="AO153" s="59">
        <f t="shared" si="144"/>
        <v>292.57799203101769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-1.0286385077051818E-13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277.20405719540543</v>
      </c>
      <c r="BJ153" s="59">
        <f t="shared" si="146"/>
        <v>231.36959598460686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4.4337866711430253E-14</v>
      </c>
      <c r="CA153" s="13">
        <f t="shared" si="147"/>
        <v>7.3222115536967035E-13</v>
      </c>
      <c r="CB153" s="20">
        <f t="shared" si="118"/>
        <v>1.3525069634579169E-12</v>
      </c>
      <c r="CC153" s="59">
        <f t="shared" si="119"/>
        <v>293.33333333333468</v>
      </c>
      <c r="CD153" s="59">
        <f ca="1">AVERAGE(OFFSET($CC$3,0,0,'Données projet'!$E$12+1,1))-AVERAGE(OFFSET($H$3,0,0,'Données projet'!$E$12+1,1))</f>
        <v>288.82868507674738</v>
      </c>
      <c r="CE153" s="59">
        <f t="shared" si="148"/>
        <v>283.48738729114024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0.11255739915118038</v>
      </c>
      <c r="CM153" s="21">
        <f>EXP(-LN(2)/2)*CM152+(1-EXP(-LN(2)/2))/(LN(2)/2)*CG153*CJ153*VLOOKUP('Données projet'!$B$12,Paramètres!$A$1:$I$89,3,0)*0.475*44/12</f>
        <v>2.8363660693862314E-18</v>
      </c>
      <c r="CN153" s="22">
        <f t="shared" si="120"/>
        <v>0.11255739915118038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1.7053025658242404E-13</v>
      </c>
      <c r="O154" s="13">
        <f>N154*VLOOKUP('Données projet'!$B$9,Paramètres!$A$1:$I$89,3,0)*VLOOKUP('Données projet'!$B$9,Paramètres!$A$1:$I$89,5,0)</f>
        <v>1.250327841262333E-13</v>
      </c>
      <c r="P154" s="13">
        <f t="shared" si="141"/>
        <v>1.8301318724634299E-12</v>
      </c>
      <c r="Q154" s="20">
        <f t="shared" ref="Q154:Q203" si="162">(O154+P154)*0.475*44/12</f>
        <v>3.405245110226996E-12</v>
      </c>
      <c r="R154" s="59">
        <f t="shared" si="109"/>
        <v>293.33333333333672</v>
      </c>
      <c r="S154" s="59">
        <f ca="1">AVERAGE(OFFSET($R$3,0,0,'Données projet'!$E$9+1,1))-AVERAGE(OFFSET($H$3,0,0,'Données projet'!$E$9+1,1))</f>
        <v>193.60868637458515</v>
      </c>
      <c r="T154" s="59">
        <f t="shared" si="142"/>
        <v>272.97841038165217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-1.7053025658242404E-13</v>
      </c>
      <c r="AJ154" s="13">
        <f>AI154*VLOOKUP('Données projet'!$B$10,Paramètres!$A$1:$I$89,3,0)*VLOOKUP('Données projet'!$B$10,Paramètres!$A$1:$I$89,5,0)</f>
        <v>-1.3567387213697657E-13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238.56893947183841</v>
      </c>
      <c r="AO154" s="59">
        <f t="shared" si="144"/>
        <v>292.57799203101769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-1.0286385077051818E-13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277.20405719540543</v>
      </c>
      <c r="BJ154" s="59">
        <f t="shared" si="146"/>
        <v>231.36959598460686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4.4337866711430253E-14</v>
      </c>
      <c r="CA154" s="13">
        <f t="shared" ref="CA154:CA203" si="170">EXP(-1.0587+0.8836*LN(BZ154)+0.284)</f>
        <v>7.3222115536967035E-13</v>
      </c>
      <c r="CB154" s="20">
        <f t="shared" ref="CB154:CB203" si="171">(BZ154+CA154)*0.475*44/12</f>
        <v>1.3525069634579169E-12</v>
      </c>
      <c r="CC154" s="59">
        <f t="shared" si="119"/>
        <v>293.33333333333468</v>
      </c>
      <c r="CD154" s="59">
        <f ca="1">AVERAGE(OFFSET($CC$3,0,0,'Données projet'!$E$12+1,1))-AVERAGE(OFFSET($H$3,0,0,'Données projet'!$E$12+1,1))</f>
        <v>288.82868507674738</v>
      </c>
      <c r="CE154" s="59">
        <f t="shared" si="148"/>
        <v>283.48738729114024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0.10947951115225497</v>
      </c>
      <c r="CM154" s="21">
        <f>EXP(-LN(2)/2)*CM153+(1-EXP(-LN(2)/2))/(LN(2)/2)*CG154*CJ154*VLOOKUP('Données projet'!$B$12,Paramètres!$A$1:$I$89,3,0)*0.475*44/12</f>
        <v>2.0056136815904378E-18</v>
      </c>
      <c r="CN154" s="22">
        <f t="shared" ref="CN154:CN203" si="172">SUM(CK154:CM154)</f>
        <v>0.10947951115225497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1.7053025658242404E-13</v>
      </c>
      <c r="O155" s="13">
        <f>N155*VLOOKUP('Données projet'!$B$9,Paramètres!$A$1:$I$89,3,0)*VLOOKUP('Données projet'!$B$9,Paramètres!$A$1:$I$89,5,0)</f>
        <v>1.250327841262333E-13</v>
      </c>
      <c r="P155" s="13">
        <f t="shared" si="141"/>
        <v>1.8301318724634299E-12</v>
      </c>
      <c r="Q155" s="20">
        <f t="shared" si="162"/>
        <v>3.405245110226996E-12</v>
      </c>
      <c r="R155" s="59">
        <f t="shared" si="109"/>
        <v>293.33333333333672</v>
      </c>
      <c r="S155" s="59">
        <f ca="1">AVERAGE(OFFSET($R$3,0,0,'Données projet'!$E$9+1,1))-AVERAGE(OFFSET($H$3,0,0,'Données projet'!$E$9+1,1))</f>
        <v>193.60868637458515</v>
      </c>
      <c r="T155" s="59">
        <f t="shared" si="142"/>
        <v>272.97841038165217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-1.7053025658242404E-13</v>
      </c>
      <c r="AJ155" s="13">
        <f>AI155*VLOOKUP('Données projet'!$B$10,Paramètres!$A$1:$I$89,3,0)*VLOOKUP('Données projet'!$B$10,Paramètres!$A$1:$I$89,5,0)</f>
        <v>-1.3567387213697657E-13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238.56893947183841</v>
      </c>
      <c r="AO155" s="59">
        <f t="shared" si="144"/>
        <v>292.57799203101769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-1.0286385077051818E-13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277.20405719540543</v>
      </c>
      <c r="BJ155" s="59">
        <f t="shared" si="146"/>
        <v>231.36959598460686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4.4337866711430253E-14</v>
      </c>
      <c r="CA155" s="13">
        <f t="shared" si="170"/>
        <v>7.3222115536967035E-13</v>
      </c>
      <c r="CB155" s="20">
        <f t="shared" si="171"/>
        <v>1.3525069634579169E-12</v>
      </c>
      <c r="CC155" s="59">
        <f t="shared" si="119"/>
        <v>293.33333333333468</v>
      </c>
      <c r="CD155" s="59">
        <f ca="1">AVERAGE(OFFSET($CC$3,0,0,'Données projet'!$E$12+1,1))-AVERAGE(OFFSET($H$3,0,0,'Données projet'!$E$12+1,1))</f>
        <v>288.82868507674738</v>
      </c>
      <c r="CE155" s="59">
        <f t="shared" si="148"/>
        <v>283.48738729114024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0.10648578816251929</v>
      </c>
      <c r="CM155" s="21">
        <f>EXP(-LN(2)/2)*CM154+(1-EXP(-LN(2)/2))/(LN(2)/2)*CG155*CJ155*VLOOKUP('Données projet'!$B$12,Paramètres!$A$1:$I$89,3,0)*0.475*44/12</f>
        <v>1.4181830346931157E-18</v>
      </c>
      <c r="CN155" s="22">
        <f t="shared" si="172"/>
        <v>0.10648578816251929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1.7053025658242404E-13</v>
      </c>
      <c r="O156" s="13">
        <f>N156*VLOOKUP('Données projet'!$B$9,Paramètres!$A$1:$I$89,3,0)*VLOOKUP('Données projet'!$B$9,Paramètres!$A$1:$I$89,5,0)</f>
        <v>1.250327841262333E-13</v>
      </c>
      <c r="P156" s="13">
        <f t="shared" si="141"/>
        <v>1.8301318724634299E-12</v>
      </c>
      <c r="Q156" s="20">
        <f t="shared" si="162"/>
        <v>3.405245110226996E-12</v>
      </c>
      <c r="R156" s="59">
        <f t="shared" si="109"/>
        <v>293.33333333333672</v>
      </c>
      <c r="S156" s="59">
        <f ca="1">AVERAGE(OFFSET($R$3,0,0,'Données projet'!$E$9+1,1))-AVERAGE(OFFSET($H$3,0,0,'Données projet'!$E$9+1,1))</f>
        <v>193.60868637458515</v>
      </c>
      <c r="T156" s="59">
        <f t="shared" si="142"/>
        <v>272.97841038165217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-1.7053025658242404E-13</v>
      </c>
      <c r="AJ156" s="13">
        <f>AI156*VLOOKUP('Données projet'!$B$10,Paramètres!$A$1:$I$89,3,0)*VLOOKUP('Données projet'!$B$10,Paramètres!$A$1:$I$89,5,0)</f>
        <v>-1.3567387213697657E-13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238.56893947183841</v>
      </c>
      <c r="AO156" s="59">
        <f t="shared" si="144"/>
        <v>292.57799203101769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-1.0286385077051818E-13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277.20405719540543</v>
      </c>
      <c r="BJ156" s="59">
        <f t="shared" si="146"/>
        <v>231.36959598460686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4.4337866711430253E-14</v>
      </c>
      <c r="CA156" s="13">
        <f t="shared" si="170"/>
        <v>7.3222115536967035E-13</v>
      </c>
      <c r="CB156" s="20">
        <f t="shared" si="171"/>
        <v>1.3525069634579169E-12</v>
      </c>
      <c r="CC156" s="59">
        <f t="shared" si="119"/>
        <v>293.33333333333468</v>
      </c>
      <c r="CD156" s="59">
        <f ca="1">AVERAGE(OFFSET($CC$3,0,0,'Données projet'!$E$12+1,1))-AVERAGE(OFFSET($H$3,0,0,'Données projet'!$E$12+1,1))</f>
        <v>288.82868507674738</v>
      </c>
      <c r="CE156" s="59">
        <f t="shared" si="148"/>
        <v>283.48738729114024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0.10357392868537098</v>
      </c>
      <c r="CM156" s="21">
        <f>EXP(-LN(2)/2)*CM155+(1-EXP(-LN(2)/2))/(LN(2)/2)*CG156*CJ156*VLOOKUP('Données projet'!$B$12,Paramètres!$A$1:$I$89,3,0)*0.475*44/12</f>
        <v>1.0028068407952189E-18</v>
      </c>
      <c r="CN156" s="22">
        <f t="shared" si="172"/>
        <v>0.10357392868537098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1.7053025658242404E-13</v>
      </c>
      <c r="O157" s="13">
        <f>N157*VLOOKUP('Données projet'!$B$9,Paramètres!$A$1:$I$89,3,0)*VLOOKUP('Données projet'!$B$9,Paramètres!$A$1:$I$89,5,0)</f>
        <v>1.250327841262333E-13</v>
      </c>
      <c r="P157" s="13">
        <f t="shared" si="141"/>
        <v>1.8301318724634299E-12</v>
      </c>
      <c r="Q157" s="20">
        <f t="shared" si="162"/>
        <v>3.405245110226996E-12</v>
      </c>
      <c r="R157" s="59">
        <f t="shared" si="109"/>
        <v>293.33333333333672</v>
      </c>
      <c r="S157" s="59">
        <f ca="1">AVERAGE(OFFSET($R$3,0,0,'Données projet'!$E$9+1,1))-AVERAGE(OFFSET($H$3,0,0,'Données projet'!$E$9+1,1))</f>
        <v>193.60868637458515</v>
      </c>
      <c r="T157" s="59">
        <f t="shared" si="142"/>
        <v>272.97841038165217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-1.7053025658242404E-13</v>
      </c>
      <c r="AJ157" s="13">
        <f>AI157*VLOOKUP('Données projet'!$B$10,Paramètres!$A$1:$I$89,3,0)*VLOOKUP('Données projet'!$B$10,Paramètres!$A$1:$I$89,5,0)</f>
        <v>-1.3567387213697657E-13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238.56893947183841</v>
      </c>
      <c r="AO157" s="59">
        <f t="shared" si="144"/>
        <v>292.57799203101769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-1.0286385077051818E-13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277.20405719540543</v>
      </c>
      <c r="BJ157" s="59">
        <f t="shared" si="146"/>
        <v>231.36959598460686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4.4337866711430253E-14</v>
      </c>
      <c r="CA157" s="13">
        <f t="shared" si="170"/>
        <v>7.3222115536967035E-13</v>
      </c>
      <c r="CB157" s="20">
        <f t="shared" si="171"/>
        <v>1.3525069634579169E-12</v>
      </c>
      <c r="CC157" s="59">
        <f t="shared" si="119"/>
        <v>293.33333333333468</v>
      </c>
      <c r="CD157" s="59">
        <f ca="1">AVERAGE(OFFSET($CC$3,0,0,'Données projet'!$E$12+1,1))-AVERAGE(OFFSET($H$3,0,0,'Données projet'!$E$12+1,1))</f>
        <v>288.82868507674738</v>
      </c>
      <c r="CE157" s="59">
        <f t="shared" si="148"/>
        <v>283.48738729114024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0.10074169415875332</v>
      </c>
      <c r="CM157" s="21">
        <f>EXP(-LN(2)/2)*CM156+(1-EXP(-LN(2)/2))/(LN(2)/2)*CG157*CJ157*VLOOKUP('Données projet'!$B$12,Paramètres!$A$1:$I$89,3,0)*0.475*44/12</f>
        <v>7.0909151734655784E-19</v>
      </c>
      <c r="CN157" s="22">
        <f t="shared" si="172"/>
        <v>0.10074169415875332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1.7053025658242404E-13</v>
      </c>
      <c r="O158" s="13">
        <f>N158*VLOOKUP('Données projet'!$B$9,Paramètres!$A$1:$I$89,3,0)*VLOOKUP('Données projet'!$B$9,Paramètres!$A$1:$I$89,5,0)</f>
        <v>1.250327841262333E-13</v>
      </c>
      <c r="P158" s="13">
        <f t="shared" si="141"/>
        <v>1.8301318724634299E-12</v>
      </c>
      <c r="Q158" s="20">
        <f t="shared" si="162"/>
        <v>3.405245110226996E-12</v>
      </c>
      <c r="R158" s="59">
        <f t="shared" si="109"/>
        <v>293.33333333333672</v>
      </c>
      <c r="S158" s="59">
        <f ca="1">AVERAGE(OFFSET($R$3,0,0,'Données projet'!$E$9+1,1))-AVERAGE(OFFSET($H$3,0,0,'Données projet'!$E$9+1,1))</f>
        <v>193.60868637458515</v>
      </c>
      <c r="T158" s="59">
        <f t="shared" si="142"/>
        <v>272.97841038165217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-1.7053025658242404E-13</v>
      </c>
      <c r="AJ158" s="13">
        <f>AI158*VLOOKUP('Données projet'!$B$10,Paramètres!$A$1:$I$89,3,0)*VLOOKUP('Données projet'!$B$10,Paramètres!$A$1:$I$89,5,0)</f>
        <v>-1.3567387213697657E-13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238.56893947183841</v>
      </c>
      <c r="AO158" s="59">
        <f t="shared" si="144"/>
        <v>292.57799203101769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-1.0286385077051818E-13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277.20405719540543</v>
      </c>
      <c r="BJ158" s="59">
        <f t="shared" si="146"/>
        <v>231.36959598460686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4.4337866711430253E-14</v>
      </c>
      <c r="CA158" s="13">
        <f t="shared" si="170"/>
        <v>7.3222115536967035E-13</v>
      </c>
      <c r="CB158" s="20">
        <f t="shared" si="171"/>
        <v>1.3525069634579169E-12</v>
      </c>
      <c r="CC158" s="59">
        <f t="shared" si="119"/>
        <v>293.33333333333468</v>
      </c>
      <c r="CD158" s="59">
        <f ca="1">AVERAGE(OFFSET($CC$3,0,0,'Données projet'!$E$12+1,1))-AVERAGE(OFFSET($H$3,0,0,'Données projet'!$E$12+1,1))</f>
        <v>288.82868507674738</v>
      </c>
      <c r="CE158" s="59">
        <f t="shared" si="148"/>
        <v>283.48738729114024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9.7986907234206763E-2</v>
      </c>
      <c r="CM158" s="21">
        <f>EXP(-LN(2)/2)*CM157+(1-EXP(-LN(2)/2))/(LN(2)/2)*CG158*CJ158*VLOOKUP('Données projet'!$B$12,Paramètres!$A$1:$I$89,3,0)*0.475*44/12</f>
        <v>5.0140342039760944E-19</v>
      </c>
      <c r="CN158" s="22">
        <f t="shared" si="172"/>
        <v>9.7986907234206763E-2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1.7053025658242404E-13</v>
      </c>
      <c r="O159" s="13">
        <f>N159*VLOOKUP('Données projet'!$B$9,Paramètres!$A$1:$I$89,3,0)*VLOOKUP('Données projet'!$B$9,Paramètres!$A$1:$I$89,5,0)</f>
        <v>1.250327841262333E-13</v>
      </c>
      <c r="P159" s="13">
        <f t="shared" si="141"/>
        <v>1.8301318724634299E-12</v>
      </c>
      <c r="Q159" s="20">
        <f t="shared" si="162"/>
        <v>3.405245110226996E-12</v>
      </c>
      <c r="R159" s="59">
        <f t="shared" si="109"/>
        <v>293.33333333333672</v>
      </c>
      <c r="S159" s="59">
        <f ca="1">AVERAGE(OFFSET($R$3,0,0,'Données projet'!$E$9+1,1))-AVERAGE(OFFSET($H$3,0,0,'Données projet'!$E$9+1,1))</f>
        <v>193.60868637458515</v>
      </c>
      <c r="T159" s="59">
        <f t="shared" si="142"/>
        <v>272.97841038165217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-1.7053025658242404E-13</v>
      </c>
      <c r="AJ159" s="13">
        <f>AI159*VLOOKUP('Données projet'!$B$10,Paramètres!$A$1:$I$89,3,0)*VLOOKUP('Données projet'!$B$10,Paramètres!$A$1:$I$89,5,0)</f>
        <v>-1.3567387213697657E-13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238.56893947183841</v>
      </c>
      <c r="AO159" s="59">
        <f t="shared" si="144"/>
        <v>292.57799203101769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-1.0286385077051818E-13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277.20405719540543</v>
      </c>
      <c r="BJ159" s="59">
        <f t="shared" si="146"/>
        <v>231.36959598460686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4.4337866711430253E-14</v>
      </c>
      <c r="CA159" s="13">
        <f t="shared" si="170"/>
        <v>7.3222115536967035E-13</v>
      </c>
      <c r="CB159" s="20">
        <f t="shared" si="171"/>
        <v>1.3525069634579169E-12</v>
      </c>
      <c r="CC159" s="59">
        <f t="shared" si="119"/>
        <v>293.33333333333468</v>
      </c>
      <c r="CD159" s="59">
        <f ca="1">AVERAGE(OFFSET($CC$3,0,0,'Données projet'!$E$12+1,1))-AVERAGE(OFFSET($H$3,0,0,'Données projet'!$E$12+1,1))</f>
        <v>288.82868507674738</v>
      </c>
      <c r="CE159" s="59">
        <f t="shared" si="148"/>
        <v>283.48738729114024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9.5307450102979877E-2</v>
      </c>
      <c r="CM159" s="21">
        <f>EXP(-LN(2)/2)*CM158+(1-EXP(-LN(2)/2))/(LN(2)/2)*CG159*CJ159*VLOOKUP('Données projet'!$B$12,Paramètres!$A$1:$I$89,3,0)*0.475*44/12</f>
        <v>3.5454575867327892E-19</v>
      </c>
      <c r="CN159" s="22">
        <f t="shared" si="172"/>
        <v>9.5307450102979877E-2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1.7053025658242404E-13</v>
      </c>
      <c r="O160" s="13">
        <f>N160*VLOOKUP('Données projet'!$B$9,Paramètres!$A$1:$I$89,3,0)*VLOOKUP('Données projet'!$B$9,Paramètres!$A$1:$I$89,5,0)</f>
        <v>1.250327841262333E-13</v>
      </c>
      <c r="P160" s="13">
        <f t="shared" si="141"/>
        <v>1.8301318724634299E-12</v>
      </c>
      <c r="Q160" s="20">
        <f t="shared" si="162"/>
        <v>3.405245110226996E-12</v>
      </c>
      <c r="R160" s="59">
        <f t="shared" si="109"/>
        <v>293.33333333333672</v>
      </c>
      <c r="S160" s="59">
        <f ca="1">AVERAGE(OFFSET($R$3,0,0,'Données projet'!$E$9+1,1))-AVERAGE(OFFSET($H$3,0,0,'Données projet'!$E$9+1,1))</f>
        <v>193.60868637458515</v>
      </c>
      <c r="T160" s="59">
        <f t="shared" si="142"/>
        <v>272.97841038165217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-1.7053025658242404E-13</v>
      </c>
      <c r="AJ160" s="13">
        <f>AI160*VLOOKUP('Données projet'!$B$10,Paramètres!$A$1:$I$89,3,0)*VLOOKUP('Données projet'!$B$10,Paramètres!$A$1:$I$89,5,0)</f>
        <v>-1.3567387213697657E-13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238.56893947183841</v>
      </c>
      <c r="AO160" s="59">
        <f t="shared" si="144"/>
        <v>292.57799203101769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-1.0286385077051818E-13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277.20405719540543</v>
      </c>
      <c r="BJ160" s="59">
        <f t="shared" si="146"/>
        <v>231.36959598460686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4.4337866711430253E-14</v>
      </c>
      <c r="CA160" s="13">
        <f t="shared" si="170"/>
        <v>7.3222115536967035E-13</v>
      </c>
      <c r="CB160" s="20">
        <f t="shared" si="171"/>
        <v>1.3525069634579169E-12</v>
      </c>
      <c r="CC160" s="59">
        <f t="shared" si="119"/>
        <v>293.33333333333468</v>
      </c>
      <c r="CD160" s="59">
        <f ca="1">AVERAGE(OFFSET($CC$3,0,0,'Données projet'!$E$12+1,1))-AVERAGE(OFFSET($H$3,0,0,'Données projet'!$E$12+1,1))</f>
        <v>288.82868507674738</v>
      </c>
      <c r="CE160" s="59">
        <f t="shared" si="148"/>
        <v>283.48738729114024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9.2701262867912915E-2</v>
      </c>
      <c r="CM160" s="21">
        <f>EXP(-LN(2)/2)*CM159+(1-EXP(-LN(2)/2))/(LN(2)/2)*CG160*CJ160*VLOOKUP('Données projet'!$B$12,Paramètres!$A$1:$I$89,3,0)*0.475*44/12</f>
        <v>2.5070171019880472E-19</v>
      </c>
      <c r="CN160" s="22">
        <f t="shared" si="172"/>
        <v>9.2701262867912915E-2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1.7053025658242404E-13</v>
      </c>
      <c r="O161" s="13">
        <f>N161*VLOOKUP('Données projet'!$B$9,Paramètres!$A$1:$I$89,3,0)*VLOOKUP('Données projet'!$B$9,Paramètres!$A$1:$I$89,5,0)</f>
        <v>1.250327841262333E-13</v>
      </c>
      <c r="P161" s="13">
        <f t="shared" si="141"/>
        <v>1.8301318724634299E-12</v>
      </c>
      <c r="Q161" s="20">
        <f t="shared" si="162"/>
        <v>3.405245110226996E-12</v>
      </c>
      <c r="R161" s="59">
        <f t="shared" si="109"/>
        <v>293.33333333333672</v>
      </c>
      <c r="S161" s="59">
        <f ca="1">AVERAGE(OFFSET($R$3,0,0,'Données projet'!$E$9+1,1))-AVERAGE(OFFSET($H$3,0,0,'Données projet'!$E$9+1,1))</f>
        <v>193.60868637458515</v>
      </c>
      <c r="T161" s="59">
        <f t="shared" si="142"/>
        <v>272.97841038165217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-1.7053025658242404E-13</v>
      </c>
      <c r="AJ161" s="13">
        <f>AI161*VLOOKUP('Données projet'!$B$10,Paramètres!$A$1:$I$89,3,0)*VLOOKUP('Données projet'!$B$10,Paramètres!$A$1:$I$89,5,0)</f>
        <v>-1.3567387213697657E-13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238.56893947183841</v>
      </c>
      <c r="AO161" s="59">
        <f t="shared" si="144"/>
        <v>292.57799203101769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-1.0286385077051818E-13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277.20405719540543</v>
      </c>
      <c r="BJ161" s="59">
        <f t="shared" si="146"/>
        <v>231.36959598460686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4.4337866711430253E-14</v>
      </c>
      <c r="CA161" s="13">
        <f t="shared" si="170"/>
        <v>7.3222115536967035E-13</v>
      </c>
      <c r="CB161" s="20">
        <f t="shared" si="171"/>
        <v>1.3525069634579169E-12</v>
      </c>
      <c r="CC161" s="59">
        <f t="shared" si="119"/>
        <v>293.33333333333468</v>
      </c>
      <c r="CD161" s="59">
        <f ca="1">AVERAGE(OFFSET($CC$3,0,0,'Données projet'!$E$12+1,1))-AVERAGE(OFFSET($H$3,0,0,'Données projet'!$E$12+1,1))</f>
        <v>288.82868507674738</v>
      </c>
      <c r="CE161" s="59">
        <f t="shared" si="148"/>
        <v>283.48738729114024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9.01663419598423E-2</v>
      </c>
      <c r="CM161" s="21">
        <f>EXP(-LN(2)/2)*CM160+(1-EXP(-LN(2)/2))/(LN(2)/2)*CG161*CJ161*VLOOKUP('Données projet'!$B$12,Paramètres!$A$1:$I$89,3,0)*0.475*44/12</f>
        <v>1.7727287933663946E-19</v>
      </c>
      <c r="CN161" s="22">
        <f t="shared" si="172"/>
        <v>9.01663419598423E-2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1.7053025658242404E-13</v>
      </c>
      <c r="O162" s="13">
        <f>N162*VLOOKUP('Données projet'!$B$9,Paramètres!$A$1:$I$89,3,0)*VLOOKUP('Données projet'!$B$9,Paramètres!$A$1:$I$89,5,0)</f>
        <v>1.250327841262333E-13</v>
      </c>
      <c r="P162" s="13">
        <f t="shared" si="141"/>
        <v>1.8301318724634299E-12</v>
      </c>
      <c r="Q162" s="20">
        <f t="shared" si="162"/>
        <v>3.405245110226996E-12</v>
      </c>
      <c r="R162" s="59">
        <f t="shared" si="109"/>
        <v>293.33333333333672</v>
      </c>
      <c r="S162" s="59">
        <f ca="1">AVERAGE(OFFSET($R$3,0,0,'Données projet'!$E$9+1,1))-AVERAGE(OFFSET($H$3,0,0,'Données projet'!$E$9+1,1))</f>
        <v>193.60868637458515</v>
      </c>
      <c r="T162" s="59">
        <f t="shared" si="142"/>
        <v>272.97841038165217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-1.7053025658242404E-13</v>
      </c>
      <c r="AJ162" s="13">
        <f>AI162*VLOOKUP('Données projet'!$B$10,Paramètres!$A$1:$I$89,3,0)*VLOOKUP('Données projet'!$B$10,Paramètres!$A$1:$I$89,5,0)</f>
        <v>-1.3567387213697657E-13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238.56893947183841</v>
      </c>
      <c r="AO162" s="59">
        <f t="shared" si="144"/>
        <v>292.57799203101769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-1.0286385077051818E-13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277.20405719540543</v>
      </c>
      <c r="BJ162" s="59">
        <f t="shared" si="146"/>
        <v>231.36959598460686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4.4337866711430253E-14</v>
      </c>
      <c r="CA162" s="13">
        <f t="shared" si="170"/>
        <v>7.3222115536967035E-13</v>
      </c>
      <c r="CB162" s="20">
        <f t="shared" si="171"/>
        <v>1.3525069634579169E-12</v>
      </c>
      <c r="CC162" s="59">
        <f t="shared" si="119"/>
        <v>293.33333333333468</v>
      </c>
      <c r="CD162" s="59">
        <f ca="1">AVERAGE(OFFSET($CC$3,0,0,'Données projet'!$E$12+1,1))-AVERAGE(OFFSET($H$3,0,0,'Données projet'!$E$12+1,1))</f>
        <v>288.82868507674738</v>
      </c>
      <c r="CE162" s="59">
        <f t="shared" si="148"/>
        <v>283.48738729114024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8.7700738597308564E-2</v>
      </c>
      <c r="CM162" s="21">
        <f>EXP(-LN(2)/2)*CM161+(1-EXP(-LN(2)/2))/(LN(2)/2)*CG162*CJ162*VLOOKUP('Données projet'!$B$12,Paramètres!$A$1:$I$89,3,0)*0.475*44/12</f>
        <v>1.2535085509940236E-19</v>
      </c>
      <c r="CN162" s="22">
        <f t="shared" si="172"/>
        <v>8.7700738597308564E-2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1.7053025658242404E-13</v>
      </c>
      <c r="O163" s="13">
        <f>N163*VLOOKUP('Données projet'!$B$9,Paramètres!$A$1:$I$89,3,0)*VLOOKUP('Données projet'!$B$9,Paramètres!$A$1:$I$89,5,0)</f>
        <v>1.250327841262333E-13</v>
      </c>
      <c r="P163" s="13">
        <f t="shared" si="141"/>
        <v>1.8301318724634299E-12</v>
      </c>
      <c r="Q163" s="20">
        <f t="shared" si="162"/>
        <v>3.405245110226996E-12</v>
      </c>
      <c r="R163" s="59">
        <f t="shared" si="109"/>
        <v>293.33333333333672</v>
      </c>
      <c r="S163" s="59">
        <f ca="1">AVERAGE(OFFSET($R$3,0,0,'Données projet'!$E$9+1,1))-AVERAGE(OFFSET($H$3,0,0,'Données projet'!$E$9+1,1))</f>
        <v>193.60868637458515</v>
      </c>
      <c r="T163" s="59">
        <f t="shared" si="142"/>
        <v>272.97841038165217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-1.7053025658242404E-13</v>
      </c>
      <c r="AJ163" s="13">
        <f>AI163*VLOOKUP('Données projet'!$B$10,Paramètres!$A$1:$I$89,3,0)*VLOOKUP('Données projet'!$B$10,Paramètres!$A$1:$I$89,5,0)</f>
        <v>-1.3567387213697657E-13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238.56893947183841</v>
      </c>
      <c r="AO163" s="59">
        <f t="shared" si="144"/>
        <v>292.57799203101769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-1.0286385077051818E-13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277.20405719540543</v>
      </c>
      <c r="BJ163" s="59">
        <f t="shared" si="146"/>
        <v>231.36959598460686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4.4337866711430253E-14</v>
      </c>
      <c r="CA163" s="13">
        <f t="shared" si="170"/>
        <v>7.3222115536967035E-13</v>
      </c>
      <c r="CB163" s="20">
        <f t="shared" si="171"/>
        <v>1.3525069634579169E-12</v>
      </c>
      <c r="CC163" s="59">
        <f t="shared" si="119"/>
        <v>293.33333333333468</v>
      </c>
      <c r="CD163" s="59">
        <f ca="1">AVERAGE(OFFSET($CC$3,0,0,'Données projet'!$E$12+1,1))-AVERAGE(OFFSET($H$3,0,0,'Données projet'!$E$12+1,1))</f>
        <v>288.82868507674738</v>
      </c>
      <c r="CE163" s="59">
        <f t="shared" si="148"/>
        <v>283.48738729114024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8.5302557288383762E-2</v>
      </c>
      <c r="CM163" s="21">
        <f>EXP(-LN(2)/2)*CM162+(1-EXP(-LN(2)/2))/(LN(2)/2)*CG163*CJ163*VLOOKUP('Données projet'!$B$12,Paramètres!$A$1:$I$89,3,0)*0.475*44/12</f>
        <v>8.863643966831973E-20</v>
      </c>
      <c r="CN163" s="22">
        <f t="shared" si="172"/>
        <v>8.5302557288383762E-2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1.7053025658242404E-13</v>
      </c>
      <c r="O164" s="13">
        <f>N164*VLOOKUP('Données projet'!$B$9,Paramètres!$A$1:$I$89,3,0)*VLOOKUP('Données projet'!$B$9,Paramètres!$A$1:$I$89,5,0)</f>
        <v>1.250327841262333E-13</v>
      </c>
      <c r="P164" s="13">
        <f t="shared" si="141"/>
        <v>1.8301318724634299E-12</v>
      </c>
      <c r="Q164" s="20">
        <f t="shared" si="162"/>
        <v>3.405245110226996E-12</v>
      </c>
      <c r="R164" s="59">
        <f t="shared" si="109"/>
        <v>293.33333333333672</v>
      </c>
      <c r="S164" s="59">
        <f ca="1">AVERAGE(OFFSET($R$3,0,0,'Données projet'!$E$9+1,1))-AVERAGE(OFFSET($H$3,0,0,'Données projet'!$E$9+1,1))</f>
        <v>193.60868637458515</v>
      </c>
      <c r="T164" s="59">
        <f t="shared" si="142"/>
        <v>272.97841038165217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-1.7053025658242404E-13</v>
      </c>
      <c r="AJ164" s="13">
        <f>AI164*VLOOKUP('Données projet'!$B$10,Paramètres!$A$1:$I$89,3,0)*VLOOKUP('Données projet'!$B$10,Paramètres!$A$1:$I$89,5,0)</f>
        <v>-1.3567387213697657E-13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238.56893947183841</v>
      </c>
      <c r="AO164" s="59">
        <f t="shared" si="144"/>
        <v>292.57799203101769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-1.0286385077051818E-13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277.20405719540543</v>
      </c>
      <c r="BJ164" s="59">
        <f t="shared" si="146"/>
        <v>231.36959598460686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4.4337866711430253E-14</v>
      </c>
      <c r="CA164" s="13">
        <f t="shared" si="170"/>
        <v>7.3222115536967035E-13</v>
      </c>
      <c r="CB164" s="20">
        <f t="shared" si="171"/>
        <v>1.3525069634579169E-12</v>
      </c>
      <c r="CC164" s="59">
        <f t="shared" si="119"/>
        <v>293.33333333333468</v>
      </c>
      <c r="CD164" s="59">
        <f ca="1">AVERAGE(OFFSET($CC$3,0,0,'Données projet'!$E$12+1,1))-AVERAGE(OFFSET($H$3,0,0,'Données projet'!$E$12+1,1))</f>
        <v>288.82868507674738</v>
      </c>
      <c r="CE164" s="59">
        <f t="shared" si="148"/>
        <v>283.48738729114024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8.2969954373466381E-2</v>
      </c>
      <c r="CM164" s="21">
        <f>EXP(-LN(2)/2)*CM163+(1-EXP(-LN(2)/2))/(LN(2)/2)*CG164*CJ164*VLOOKUP('Données projet'!$B$12,Paramètres!$A$1:$I$89,3,0)*0.475*44/12</f>
        <v>6.267542754970118E-20</v>
      </c>
      <c r="CN164" s="22">
        <f t="shared" si="172"/>
        <v>8.2969954373466381E-2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1.7053025658242404E-13</v>
      </c>
      <c r="O165" s="13">
        <f>N165*VLOOKUP('Données projet'!$B$9,Paramètres!$A$1:$I$89,3,0)*VLOOKUP('Données projet'!$B$9,Paramètres!$A$1:$I$89,5,0)</f>
        <v>1.250327841262333E-13</v>
      </c>
      <c r="P165" s="13">
        <f t="shared" si="141"/>
        <v>1.8301318724634299E-12</v>
      </c>
      <c r="Q165" s="20">
        <f t="shared" si="162"/>
        <v>3.405245110226996E-12</v>
      </c>
      <c r="R165" s="59">
        <f t="shared" si="109"/>
        <v>293.33333333333672</v>
      </c>
      <c r="S165" s="59">
        <f ca="1">AVERAGE(OFFSET($R$3,0,0,'Données projet'!$E$9+1,1))-AVERAGE(OFFSET($H$3,0,0,'Données projet'!$E$9+1,1))</f>
        <v>193.60868637458515</v>
      </c>
      <c r="T165" s="59">
        <f t="shared" si="142"/>
        <v>272.97841038165217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-1.7053025658242404E-13</v>
      </c>
      <c r="AJ165" s="13">
        <f>AI165*VLOOKUP('Données projet'!$B$10,Paramètres!$A$1:$I$89,3,0)*VLOOKUP('Données projet'!$B$10,Paramètres!$A$1:$I$89,5,0)</f>
        <v>-1.3567387213697657E-13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238.56893947183841</v>
      </c>
      <c r="AO165" s="59">
        <f t="shared" si="144"/>
        <v>292.57799203101769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-1.0286385077051818E-13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277.20405719540543</v>
      </c>
      <c r="BJ165" s="59">
        <f t="shared" si="146"/>
        <v>231.36959598460686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4.4337866711430253E-14</v>
      </c>
      <c r="CA165" s="13">
        <f t="shared" si="170"/>
        <v>7.3222115536967035E-13</v>
      </c>
      <c r="CB165" s="20">
        <f t="shared" si="171"/>
        <v>1.3525069634579169E-12</v>
      </c>
      <c r="CC165" s="59">
        <f t="shared" si="119"/>
        <v>293.33333333333468</v>
      </c>
      <c r="CD165" s="59">
        <f ca="1">AVERAGE(OFFSET($CC$3,0,0,'Données projet'!$E$12+1,1))-AVERAGE(OFFSET($H$3,0,0,'Données projet'!$E$12+1,1))</f>
        <v>288.82868507674738</v>
      </c>
      <c r="CE165" s="59">
        <f t="shared" si="148"/>
        <v>283.48738729114024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8.0701136607923676E-2</v>
      </c>
      <c r="CM165" s="21">
        <f>EXP(-LN(2)/2)*CM164+(1-EXP(-LN(2)/2))/(LN(2)/2)*CG165*CJ165*VLOOKUP('Données projet'!$B$12,Paramètres!$A$1:$I$89,3,0)*0.475*44/12</f>
        <v>4.4318219834159865E-20</v>
      </c>
      <c r="CN165" s="22">
        <f t="shared" si="172"/>
        <v>8.0701136607923676E-2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1.7053025658242404E-13</v>
      </c>
      <c r="O166" s="13">
        <f>N166*VLOOKUP('Données projet'!$B$9,Paramètres!$A$1:$I$89,3,0)*VLOOKUP('Données projet'!$B$9,Paramètres!$A$1:$I$89,5,0)</f>
        <v>1.250327841262333E-13</v>
      </c>
      <c r="P166" s="13">
        <f t="shared" si="141"/>
        <v>1.8301318724634299E-12</v>
      </c>
      <c r="Q166" s="20">
        <f t="shared" si="162"/>
        <v>3.405245110226996E-12</v>
      </c>
      <c r="R166" s="59">
        <f t="shared" si="109"/>
        <v>293.33333333333672</v>
      </c>
      <c r="S166" s="59">
        <f ca="1">AVERAGE(OFFSET($R$3,0,0,'Données projet'!$E$9+1,1))-AVERAGE(OFFSET($H$3,0,0,'Données projet'!$E$9+1,1))</f>
        <v>193.60868637458515</v>
      </c>
      <c r="T166" s="59">
        <f t="shared" si="142"/>
        <v>272.97841038165217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-1.7053025658242404E-13</v>
      </c>
      <c r="AJ166" s="13">
        <f>AI166*VLOOKUP('Données projet'!$B$10,Paramètres!$A$1:$I$89,3,0)*VLOOKUP('Données projet'!$B$10,Paramètres!$A$1:$I$89,5,0)</f>
        <v>-1.3567387213697657E-13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238.56893947183841</v>
      </c>
      <c r="AO166" s="59">
        <f t="shared" si="144"/>
        <v>292.57799203101769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-1.0286385077051818E-13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277.20405719540543</v>
      </c>
      <c r="BJ166" s="59">
        <f t="shared" si="146"/>
        <v>231.36959598460686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4.4337866711430253E-14</v>
      </c>
      <c r="CA166" s="13">
        <f t="shared" si="170"/>
        <v>7.3222115536967035E-13</v>
      </c>
      <c r="CB166" s="20">
        <f t="shared" si="171"/>
        <v>1.3525069634579169E-12</v>
      </c>
      <c r="CC166" s="59">
        <f t="shared" si="119"/>
        <v>293.33333333333468</v>
      </c>
      <c r="CD166" s="59">
        <f ca="1">AVERAGE(OFFSET($CC$3,0,0,'Données projet'!$E$12+1,1))-AVERAGE(OFFSET($H$3,0,0,'Données projet'!$E$12+1,1))</f>
        <v>288.82868507674738</v>
      </c>
      <c r="CE166" s="59">
        <f t="shared" si="148"/>
        <v>283.48738729114024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7.8494359783491674E-2</v>
      </c>
      <c r="CM166" s="21">
        <f>EXP(-LN(2)/2)*CM165+(1-EXP(-LN(2)/2))/(LN(2)/2)*CG166*CJ166*VLOOKUP('Données projet'!$B$12,Paramètres!$A$1:$I$89,3,0)*0.475*44/12</f>
        <v>3.133771377485059E-20</v>
      </c>
      <c r="CN166" s="22">
        <f t="shared" si="172"/>
        <v>7.8494359783491674E-2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1.7053025658242404E-13</v>
      </c>
      <c r="O167" s="13">
        <f>N167*VLOOKUP('Données projet'!$B$9,Paramètres!$A$1:$I$89,3,0)*VLOOKUP('Données projet'!$B$9,Paramètres!$A$1:$I$89,5,0)</f>
        <v>1.250327841262333E-13</v>
      </c>
      <c r="P167" s="13">
        <f t="shared" si="141"/>
        <v>1.8301318724634299E-12</v>
      </c>
      <c r="Q167" s="20">
        <f t="shared" si="162"/>
        <v>3.405245110226996E-12</v>
      </c>
      <c r="R167" s="59">
        <f t="shared" si="109"/>
        <v>293.33333333333672</v>
      </c>
      <c r="S167" s="59">
        <f ca="1">AVERAGE(OFFSET($R$3,0,0,'Données projet'!$E$9+1,1))-AVERAGE(OFFSET($H$3,0,0,'Données projet'!$E$9+1,1))</f>
        <v>193.60868637458515</v>
      </c>
      <c r="T167" s="59">
        <f t="shared" si="142"/>
        <v>272.97841038165217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-1.7053025658242404E-13</v>
      </c>
      <c r="AJ167" s="13">
        <f>AI167*VLOOKUP('Données projet'!$B$10,Paramètres!$A$1:$I$89,3,0)*VLOOKUP('Données projet'!$B$10,Paramètres!$A$1:$I$89,5,0)</f>
        <v>-1.3567387213697657E-13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238.56893947183841</v>
      </c>
      <c r="AO167" s="59">
        <f t="shared" si="144"/>
        <v>292.57799203101769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-1.0286385077051818E-13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277.20405719540543</v>
      </c>
      <c r="BJ167" s="59">
        <f t="shared" si="146"/>
        <v>231.36959598460686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4.4337866711430253E-14</v>
      </c>
      <c r="CA167" s="13">
        <f t="shared" si="170"/>
        <v>7.3222115536967035E-13</v>
      </c>
      <c r="CB167" s="20">
        <f t="shared" si="171"/>
        <v>1.3525069634579169E-12</v>
      </c>
      <c r="CC167" s="59">
        <f t="shared" si="119"/>
        <v>293.33333333333468</v>
      </c>
      <c r="CD167" s="59">
        <f ca="1">AVERAGE(OFFSET($CC$3,0,0,'Données projet'!$E$12+1,1))-AVERAGE(OFFSET($H$3,0,0,'Données projet'!$E$12+1,1))</f>
        <v>288.82868507674738</v>
      </c>
      <c r="CE167" s="59">
        <f t="shared" si="148"/>
        <v>283.48738729114024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7.6347927387373116E-2</v>
      </c>
      <c r="CM167" s="21">
        <f>EXP(-LN(2)/2)*CM166+(1-EXP(-LN(2)/2))/(LN(2)/2)*CG167*CJ167*VLOOKUP('Données projet'!$B$12,Paramètres!$A$1:$I$89,3,0)*0.475*44/12</f>
        <v>2.2159109917079932E-20</v>
      </c>
      <c r="CN167" s="22">
        <f t="shared" si="172"/>
        <v>7.6347927387373116E-2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1.7053025658242404E-13</v>
      </c>
      <c r="O168" s="13">
        <f>N168*VLOOKUP('Données projet'!$B$9,Paramètres!$A$1:$I$89,3,0)*VLOOKUP('Données projet'!$B$9,Paramètres!$A$1:$I$89,5,0)</f>
        <v>1.250327841262333E-13</v>
      </c>
      <c r="P168" s="13">
        <f t="shared" si="141"/>
        <v>1.8301318724634299E-12</v>
      </c>
      <c r="Q168" s="20">
        <f t="shared" si="162"/>
        <v>3.405245110226996E-12</v>
      </c>
      <c r="R168" s="59">
        <f t="shared" si="109"/>
        <v>293.33333333333672</v>
      </c>
      <c r="S168" s="59">
        <f ca="1">AVERAGE(OFFSET($R$3,0,0,'Données projet'!$E$9+1,1))-AVERAGE(OFFSET($H$3,0,0,'Données projet'!$E$9+1,1))</f>
        <v>193.60868637458515</v>
      </c>
      <c r="T168" s="59">
        <f t="shared" si="142"/>
        <v>272.97841038165217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-1.7053025658242404E-13</v>
      </c>
      <c r="AJ168" s="13">
        <f>AI168*VLOOKUP('Données projet'!$B$10,Paramètres!$A$1:$I$89,3,0)*VLOOKUP('Données projet'!$B$10,Paramètres!$A$1:$I$89,5,0)</f>
        <v>-1.3567387213697657E-13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238.56893947183841</v>
      </c>
      <c r="AO168" s="59">
        <f t="shared" si="144"/>
        <v>292.57799203101769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-1.0286385077051818E-13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277.20405719540543</v>
      </c>
      <c r="BJ168" s="59">
        <f t="shared" si="146"/>
        <v>231.36959598460686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4.4337866711430253E-14</v>
      </c>
      <c r="CA168" s="13">
        <f t="shared" si="170"/>
        <v>7.3222115536967035E-13</v>
      </c>
      <c r="CB168" s="20">
        <f t="shared" si="171"/>
        <v>1.3525069634579169E-12</v>
      </c>
      <c r="CC168" s="59">
        <f t="shared" si="119"/>
        <v>293.33333333333468</v>
      </c>
      <c r="CD168" s="59">
        <f ca="1">AVERAGE(OFFSET($CC$3,0,0,'Données projet'!$E$12+1,1))-AVERAGE(OFFSET($H$3,0,0,'Données projet'!$E$12+1,1))</f>
        <v>288.82868507674738</v>
      </c>
      <c r="CE168" s="59">
        <f t="shared" si="148"/>
        <v>283.48738729114024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7.4260189298002391E-2</v>
      </c>
      <c r="CM168" s="21">
        <f>EXP(-LN(2)/2)*CM167+(1-EXP(-LN(2)/2))/(LN(2)/2)*CG168*CJ168*VLOOKUP('Données projet'!$B$12,Paramètres!$A$1:$I$89,3,0)*0.475*44/12</f>
        <v>1.5668856887425295E-20</v>
      </c>
      <c r="CN168" s="22">
        <f t="shared" si="172"/>
        <v>7.4260189298002391E-2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1.7053025658242404E-13</v>
      </c>
      <c r="O169" s="13">
        <f>N169*VLOOKUP('Données projet'!$B$9,Paramètres!$A$1:$I$89,3,0)*VLOOKUP('Données projet'!$B$9,Paramètres!$A$1:$I$89,5,0)</f>
        <v>1.250327841262333E-13</v>
      </c>
      <c r="P169" s="13">
        <f t="shared" si="141"/>
        <v>1.8301318724634299E-12</v>
      </c>
      <c r="Q169" s="20">
        <f t="shared" si="162"/>
        <v>3.405245110226996E-12</v>
      </c>
      <c r="R169" s="59">
        <f t="shared" si="109"/>
        <v>293.33333333333672</v>
      </c>
      <c r="S169" s="59">
        <f ca="1">AVERAGE(OFFSET($R$3,0,0,'Données projet'!$E$9+1,1))-AVERAGE(OFFSET($H$3,0,0,'Données projet'!$E$9+1,1))</f>
        <v>193.60868637458515</v>
      </c>
      <c r="T169" s="59">
        <f t="shared" si="142"/>
        <v>272.97841038165217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-1.7053025658242404E-13</v>
      </c>
      <c r="AJ169" s="13">
        <f>AI169*VLOOKUP('Données projet'!$B$10,Paramètres!$A$1:$I$89,3,0)*VLOOKUP('Données projet'!$B$10,Paramètres!$A$1:$I$89,5,0)</f>
        <v>-1.3567387213697657E-13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238.56893947183841</v>
      </c>
      <c r="AO169" s="59">
        <f t="shared" si="144"/>
        <v>292.57799203101769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-1.0286385077051818E-13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277.20405719540543</v>
      </c>
      <c r="BJ169" s="59">
        <f t="shared" si="146"/>
        <v>231.36959598460686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4.4337866711430253E-14</v>
      </c>
      <c r="CA169" s="13">
        <f t="shared" si="170"/>
        <v>7.3222115536967035E-13</v>
      </c>
      <c r="CB169" s="20">
        <f t="shared" si="171"/>
        <v>1.3525069634579169E-12</v>
      </c>
      <c r="CC169" s="59">
        <f t="shared" si="119"/>
        <v>293.33333333333468</v>
      </c>
      <c r="CD169" s="59">
        <f ca="1">AVERAGE(OFFSET($CC$3,0,0,'Données projet'!$E$12+1,1))-AVERAGE(OFFSET($H$3,0,0,'Données projet'!$E$12+1,1))</f>
        <v>288.82868507674738</v>
      </c>
      <c r="CE169" s="59">
        <f t="shared" si="148"/>
        <v>283.48738729114024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7.2229540516474885E-2</v>
      </c>
      <c r="CM169" s="21">
        <f>EXP(-LN(2)/2)*CM168+(1-EXP(-LN(2)/2))/(LN(2)/2)*CG169*CJ169*VLOOKUP('Données projet'!$B$12,Paramètres!$A$1:$I$89,3,0)*0.475*44/12</f>
        <v>1.1079554958539966E-20</v>
      </c>
      <c r="CN169" s="22">
        <f t="shared" si="172"/>
        <v>7.2229540516474885E-2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1.7053025658242404E-13</v>
      </c>
      <c r="O170" s="13">
        <f>N170*VLOOKUP('Données projet'!$B$9,Paramètres!$A$1:$I$89,3,0)*VLOOKUP('Données projet'!$B$9,Paramètres!$A$1:$I$89,5,0)</f>
        <v>1.250327841262333E-13</v>
      </c>
      <c r="P170" s="13">
        <f t="shared" si="141"/>
        <v>1.8301318724634299E-12</v>
      </c>
      <c r="Q170" s="20">
        <f t="shared" si="162"/>
        <v>3.405245110226996E-12</v>
      </c>
      <c r="R170" s="59">
        <f t="shared" si="109"/>
        <v>293.33333333333672</v>
      </c>
      <c r="S170" s="59">
        <f ca="1">AVERAGE(OFFSET($R$3,0,0,'Données projet'!$E$9+1,1))-AVERAGE(OFFSET($H$3,0,0,'Données projet'!$E$9+1,1))</f>
        <v>193.60868637458515</v>
      </c>
      <c r="T170" s="59">
        <f t="shared" si="142"/>
        <v>272.97841038165217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-1.7053025658242404E-13</v>
      </c>
      <c r="AJ170" s="13">
        <f>AI170*VLOOKUP('Données projet'!$B$10,Paramètres!$A$1:$I$89,3,0)*VLOOKUP('Données projet'!$B$10,Paramètres!$A$1:$I$89,5,0)</f>
        <v>-1.3567387213697657E-13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238.56893947183841</v>
      </c>
      <c r="AO170" s="59">
        <f t="shared" si="144"/>
        <v>292.57799203101769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-1.0286385077051818E-13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277.20405719540543</v>
      </c>
      <c r="BJ170" s="59">
        <f t="shared" si="146"/>
        <v>231.36959598460686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4.4337866711430253E-14</v>
      </c>
      <c r="CA170" s="13">
        <f t="shared" si="170"/>
        <v>7.3222115536967035E-13</v>
      </c>
      <c r="CB170" s="20">
        <f t="shared" si="171"/>
        <v>1.3525069634579169E-12</v>
      </c>
      <c r="CC170" s="59">
        <f t="shared" si="119"/>
        <v>293.33333333333468</v>
      </c>
      <c r="CD170" s="59">
        <f ca="1">AVERAGE(OFFSET($CC$3,0,0,'Données projet'!$E$12+1,1))-AVERAGE(OFFSET($H$3,0,0,'Données projet'!$E$12+1,1))</f>
        <v>288.82868507674738</v>
      </c>
      <c r="CE170" s="59">
        <f t="shared" si="148"/>
        <v>283.48738729114024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7.025441993266543E-2</v>
      </c>
      <c r="CM170" s="21">
        <f>EXP(-LN(2)/2)*CM169+(1-EXP(-LN(2)/2))/(LN(2)/2)*CG170*CJ170*VLOOKUP('Données projet'!$B$12,Paramètres!$A$1:$I$89,3,0)*0.475*44/12</f>
        <v>7.8344284437126475E-21</v>
      </c>
      <c r="CN170" s="22">
        <f t="shared" si="172"/>
        <v>7.025441993266543E-2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1.7053025658242404E-13</v>
      </c>
      <c r="O171" s="13">
        <f>N171*VLOOKUP('Données projet'!$B$9,Paramètres!$A$1:$I$89,3,0)*VLOOKUP('Données projet'!$B$9,Paramètres!$A$1:$I$89,5,0)</f>
        <v>1.250327841262333E-13</v>
      </c>
      <c r="P171" s="13">
        <f t="shared" si="141"/>
        <v>1.8301318724634299E-12</v>
      </c>
      <c r="Q171" s="20">
        <f t="shared" si="162"/>
        <v>3.405245110226996E-12</v>
      </c>
      <c r="R171" s="59">
        <f t="shared" si="109"/>
        <v>293.33333333333672</v>
      </c>
      <c r="S171" s="59">
        <f ca="1">AVERAGE(OFFSET($R$3,0,0,'Données projet'!$E$9+1,1))-AVERAGE(OFFSET($H$3,0,0,'Données projet'!$E$9+1,1))</f>
        <v>193.60868637458515</v>
      </c>
      <c r="T171" s="59">
        <f t="shared" si="142"/>
        <v>272.97841038165217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-1.7053025658242404E-13</v>
      </c>
      <c r="AJ171" s="13">
        <f>AI171*VLOOKUP('Données projet'!$B$10,Paramètres!$A$1:$I$89,3,0)*VLOOKUP('Données projet'!$B$10,Paramètres!$A$1:$I$89,5,0)</f>
        <v>-1.3567387213697657E-13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238.56893947183841</v>
      </c>
      <c r="AO171" s="59">
        <f t="shared" si="144"/>
        <v>292.57799203101769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-1.0286385077051818E-13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277.20405719540543</v>
      </c>
      <c r="BJ171" s="59">
        <f t="shared" si="146"/>
        <v>231.36959598460686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4.4337866711430253E-14</v>
      </c>
      <c r="CA171" s="13">
        <f t="shared" si="170"/>
        <v>7.3222115536967035E-13</v>
      </c>
      <c r="CB171" s="20">
        <f t="shared" si="171"/>
        <v>1.3525069634579169E-12</v>
      </c>
      <c r="CC171" s="59">
        <f t="shared" si="119"/>
        <v>293.33333333333468</v>
      </c>
      <c r="CD171" s="59">
        <f ca="1">AVERAGE(OFFSET($CC$3,0,0,'Données projet'!$E$12+1,1))-AVERAGE(OFFSET($H$3,0,0,'Données projet'!$E$12+1,1))</f>
        <v>288.82868507674738</v>
      </c>
      <c r="CE171" s="59">
        <f t="shared" si="148"/>
        <v>283.48738729114024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6.8333309125087324E-2</v>
      </c>
      <c r="CM171" s="21">
        <f>EXP(-LN(2)/2)*CM170+(1-EXP(-LN(2)/2))/(LN(2)/2)*CG171*CJ171*VLOOKUP('Données projet'!$B$12,Paramètres!$A$1:$I$89,3,0)*0.475*44/12</f>
        <v>5.5397774792699831E-21</v>
      </c>
      <c r="CN171" s="22">
        <f t="shared" si="172"/>
        <v>6.8333309125087324E-2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1.7053025658242404E-13</v>
      </c>
      <c r="O172" s="13">
        <f>N172*VLOOKUP('Données projet'!$B$9,Paramètres!$A$1:$I$89,3,0)*VLOOKUP('Données projet'!$B$9,Paramètres!$A$1:$I$89,5,0)</f>
        <v>1.250327841262333E-13</v>
      </c>
      <c r="P172" s="13">
        <f t="shared" si="141"/>
        <v>1.8301318724634299E-12</v>
      </c>
      <c r="Q172" s="20">
        <f t="shared" si="162"/>
        <v>3.405245110226996E-12</v>
      </c>
      <c r="R172" s="59">
        <f t="shared" si="109"/>
        <v>293.33333333333672</v>
      </c>
      <c r="S172" s="59">
        <f ca="1">AVERAGE(OFFSET($R$3,0,0,'Données projet'!$E$9+1,1))-AVERAGE(OFFSET($H$3,0,0,'Données projet'!$E$9+1,1))</f>
        <v>193.60868637458515</v>
      </c>
      <c r="T172" s="59">
        <f t="shared" si="142"/>
        <v>272.97841038165217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-1.7053025658242404E-13</v>
      </c>
      <c r="AJ172" s="13">
        <f>AI172*VLOOKUP('Données projet'!$B$10,Paramètres!$A$1:$I$89,3,0)*VLOOKUP('Données projet'!$B$10,Paramètres!$A$1:$I$89,5,0)</f>
        <v>-1.3567387213697657E-13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238.56893947183841</v>
      </c>
      <c r="AO172" s="59">
        <f t="shared" si="144"/>
        <v>292.57799203101769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-1.0286385077051818E-13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277.20405719540543</v>
      </c>
      <c r="BJ172" s="59">
        <f t="shared" si="146"/>
        <v>231.36959598460686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4.4337866711430253E-14</v>
      </c>
      <c r="CA172" s="13">
        <f t="shared" si="170"/>
        <v>7.3222115536967035E-13</v>
      </c>
      <c r="CB172" s="20">
        <f t="shared" si="171"/>
        <v>1.3525069634579169E-12</v>
      </c>
      <c r="CC172" s="59">
        <f t="shared" si="119"/>
        <v>293.33333333333468</v>
      </c>
      <c r="CD172" s="59">
        <f ca="1">AVERAGE(OFFSET($CC$3,0,0,'Données projet'!$E$12+1,1))-AVERAGE(OFFSET($H$3,0,0,'Données projet'!$E$12+1,1))</f>
        <v>288.82868507674738</v>
      </c>
      <c r="CE172" s="59">
        <f t="shared" si="148"/>
        <v>283.48738729114024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6.6464731193569257E-2</v>
      </c>
      <c r="CM172" s="21">
        <f>EXP(-LN(2)/2)*CM171+(1-EXP(-LN(2)/2))/(LN(2)/2)*CG172*CJ172*VLOOKUP('Données projet'!$B$12,Paramètres!$A$1:$I$89,3,0)*0.475*44/12</f>
        <v>3.9172142218563237E-21</v>
      </c>
      <c r="CN172" s="22">
        <f t="shared" si="172"/>
        <v>6.6464731193569257E-2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1.7053025658242404E-13</v>
      </c>
      <c r="O173" s="13">
        <f>N173*VLOOKUP('Données projet'!$B$9,Paramètres!$A$1:$I$89,3,0)*VLOOKUP('Données projet'!$B$9,Paramètres!$A$1:$I$89,5,0)</f>
        <v>1.250327841262333E-13</v>
      </c>
      <c r="P173" s="13">
        <f t="shared" si="141"/>
        <v>1.8301318724634299E-12</v>
      </c>
      <c r="Q173" s="20">
        <f t="shared" si="162"/>
        <v>3.405245110226996E-12</v>
      </c>
      <c r="R173" s="59">
        <f t="shared" si="109"/>
        <v>293.33333333333672</v>
      </c>
      <c r="S173" s="59">
        <f ca="1">AVERAGE(OFFSET($R$3,0,0,'Données projet'!$E$9+1,1))-AVERAGE(OFFSET($H$3,0,0,'Données projet'!$E$9+1,1))</f>
        <v>193.60868637458515</v>
      </c>
      <c r="T173" s="59">
        <f t="shared" si="142"/>
        <v>272.97841038165217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-1.7053025658242404E-13</v>
      </c>
      <c r="AJ173" s="13">
        <f>AI173*VLOOKUP('Données projet'!$B$10,Paramètres!$A$1:$I$89,3,0)*VLOOKUP('Données projet'!$B$10,Paramètres!$A$1:$I$89,5,0)</f>
        <v>-1.3567387213697657E-13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238.56893947183841</v>
      </c>
      <c r="AO173" s="59">
        <f t="shared" si="144"/>
        <v>292.57799203101769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-1.0286385077051818E-13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277.20405719540543</v>
      </c>
      <c r="BJ173" s="59">
        <f t="shared" si="146"/>
        <v>231.36959598460686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4.4337866711430253E-14</v>
      </c>
      <c r="CA173" s="13">
        <f t="shared" si="170"/>
        <v>7.3222115536967035E-13</v>
      </c>
      <c r="CB173" s="20">
        <f t="shared" si="171"/>
        <v>1.3525069634579169E-12</v>
      </c>
      <c r="CC173" s="59">
        <f t="shared" si="119"/>
        <v>293.33333333333468</v>
      </c>
      <c r="CD173" s="59">
        <f ca="1">AVERAGE(OFFSET($CC$3,0,0,'Données projet'!$E$12+1,1))-AVERAGE(OFFSET($H$3,0,0,'Données projet'!$E$12+1,1))</f>
        <v>288.82868507674738</v>
      </c>
      <c r="CE173" s="59">
        <f t="shared" si="148"/>
        <v>283.48738729114024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6.4647249623852793E-2</v>
      </c>
      <c r="CM173" s="21">
        <f>EXP(-LN(2)/2)*CM172+(1-EXP(-LN(2)/2))/(LN(2)/2)*CG173*CJ173*VLOOKUP('Données projet'!$B$12,Paramètres!$A$1:$I$89,3,0)*0.475*44/12</f>
        <v>2.7698887396349916E-21</v>
      </c>
      <c r="CN173" s="22">
        <f t="shared" si="172"/>
        <v>6.4647249623852793E-2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1.7053025658242404E-13</v>
      </c>
      <c r="O174" s="13">
        <f>N174*VLOOKUP('Données projet'!$B$9,Paramètres!$A$1:$I$89,3,0)*VLOOKUP('Données projet'!$B$9,Paramètres!$A$1:$I$89,5,0)</f>
        <v>1.250327841262333E-13</v>
      </c>
      <c r="P174" s="13">
        <f t="shared" si="141"/>
        <v>1.8301318724634299E-12</v>
      </c>
      <c r="Q174" s="20">
        <f t="shared" si="162"/>
        <v>3.405245110226996E-12</v>
      </c>
      <c r="R174" s="59">
        <f t="shared" si="109"/>
        <v>293.33333333333672</v>
      </c>
      <c r="S174" s="59">
        <f ca="1">AVERAGE(OFFSET($R$3,0,0,'Données projet'!$E$9+1,1))-AVERAGE(OFFSET($H$3,0,0,'Données projet'!$E$9+1,1))</f>
        <v>193.60868637458515</v>
      </c>
      <c r="T174" s="59">
        <f t="shared" si="142"/>
        <v>272.97841038165217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-1.7053025658242404E-13</v>
      </c>
      <c r="AJ174" s="13">
        <f>AI174*VLOOKUP('Données projet'!$B$10,Paramètres!$A$1:$I$89,3,0)*VLOOKUP('Données projet'!$B$10,Paramètres!$A$1:$I$89,5,0)</f>
        <v>-1.3567387213697657E-13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238.56893947183841</v>
      </c>
      <c r="AO174" s="59">
        <f t="shared" si="144"/>
        <v>292.57799203101769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-1.0286385077051818E-13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277.20405719540543</v>
      </c>
      <c r="BJ174" s="59">
        <f t="shared" si="146"/>
        <v>231.36959598460686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4.4337866711430253E-14</v>
      </c>
      <c r="CA174" s="13">
        <f t="shared" si="170"/>
        <v>7.3222115536967035E-13</v>
      </c>
      <c r="CB174" s="20">
        <f t="shared" si="171"/>
        <v>1.3525069634579169E-12</v>
      </c>
      <c r="CC174" s="59">
        <f t="shared" si="119"/>
        <v>293.33333333333468</v>
      </c>
      <c r="CD174" s="59">
        <f ca="1">AVERAGE(OFFSET($CC$3,0,0,'Données projet'!$E$12+1,1))-AVERAGE(OFFSET($H$3,0,0,'Données projet'!$E$12+1,1))</f>
        <v>288.82868507674738</v>
      </c>
      <c r="CE174" s="59">
        <f t="shared" si="148"/>
        <v>283.48738729114024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6.2879467183237434E-2</v>
      </c>
      <c r="CM174" s="21">
        <f>EXP(-LN(2)/2)*CM173+(1-EXP(-LN(2)/2))/(LN(2)/2)*CG174*CJ174*VLOOKUP('Données projet'!$B$12,Paramètres!$A$1:$I$89,3,0)*0.475*44/12</f>
        <v>1.9586071109281619E-21</v>
      </c>
      <c r="CN174" s="22">
        <f t="shared" si="172"/>
        <v>6.2879467183237434E-2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1.7053025658242404E-13</v>
      </c>
      <c r="O175" s="13">
        <f>N175*VLOOKUP('Données projet'!$B$9,Paramètres!$A$1:$I$89,3,0)*VLOOKUP('Données projet'!$B$9,Paramètres!$A$1:$I$89,5,0)</f>
        <v>1.250327841262333E-13</v>
      </c>
      <c r="P175" s="13">
        <f t="shared" si="141"/>
        <v>1.8301318724634299E-12</v>
      </c>
      <c r="Q175" s="20">
        <f t="shared" si="162"/>
        <v>3.405245110226996E-12</v>
      </c>
      <c r="R175" s="59">
        <f t="shared" si="109"/>
        <v>293.33333333333672</v>
      </c>
      <c r="S175" s="59">
        <f ca="1">AVERAGE(OFFSET($R$3,0,0,'Données projet'!$E$9+1,1))-AVERAGE(OFFSET($H$3,0,0,'Données projet'!$E$9+1,1))</f>
        <v>193.60868637458515</v>
      </c>
      <c r="T175" s="59">
        <f t="shared" si="142"/>
        <v>272.97841038165217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-1.7053025658242404E-13</v>
      </c>
      <c r="AJ175" s="13">
        <f>AI175*VLOOKUP('Données projet'!$B$10,Paramètres!$A$1:$I$89,3,0)*VLOOKUP('Données projet'!$B$10,Paramètres!$A$1:$I$89,5,0)</f>
        <v>-1.3567387213697657E-13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238.56893947183841</v>
      </c>
      <c r="AO175" s="59">
        <f t="shared" si="144"/>
        <v>292.57799203101769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-1.0286385077051818E-13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277.20405719540543</v>
      </c>
      <c r="BJ175" s="59">
        <f t="shared" si="146"/>
        <v>231.36959598460686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4.4337866711430253E-14</v>
      </c>
      <c r="CA175" s="13">
        <f t="shared" si="170"/>
        <v>7.3222115536967035E-13</v>
      </c>
      <c r="CB175" s="20">
        <f t="shared" si="171"/>
        <v>1.3525069634579169E-12</v>
      </c>
      <c r="CC175" s="59">
        <f t="shared" si="119"/>
        <v>293.33333333333468</v>
      </c>
      <c r="CD175" s="59">
        <f ca="1">AVERAGE(OFFSET($CC$3,0,0,'Données projet'!$E$12+1,1))-AVERAGE(OFFSET($H$3,0,0,'Données projet'!$E$12+1,1))</f>
        <v>288.82868507674738</v>
      </c>
      <c r="CE175" s="59">
        <f t="shared" si="148"/>
        <v>283.48738729114024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6.1160024846424341E-2</v>
      </c>
      <c r="CM175" s="21">
        <f>EXP(-LN(2)/2)*CM174+(1-EXP(-LN(2)/2))/(LN(2)/2)*CG175*CJ175*VLOOKUP('Données projet'!$B$12,Paramètres!$A$1:$I$89,3,0)*0.475*44/12</f>
        <v>1.3849443698174958E-21</v>
      </c>
      <c r="CN175" s="22">
        <f t="shared" si="172"/>
        <v>6.1160024846424341E-2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1.7053025658242404E-13</v>
      </c>
      <c r="O176" s="13">
        <f>N176*VLOOKUP('Données projet'!$B$9,Paramètres!$A$1:$I$89,3,0)*VLOOKUP('Données projet'!$B$9,Paramètres!$A$1:$I$89,5,0)</f>
        <v>1.250327841262333E-13</v>
      </c>
      <c r="P176" s="13">
        <f t="shared" si="141"/>
        <v>1.8301318724634299E-12</v>
      </c>
      <c r="Q176" s="20">
        <f t="shared" si="162"/>
        <v>3.405245110226996E-12</v>
      </c>
      <c r="R176" s="59">
        <f t="shared" si="109"/>
        <v>293.33333333333672</v>
      </c>
      <c r="S176" s="59">
        <f ca="1">AVERAGE(OFFSET($R$3,0,0,'Données projet'!$E$9+1,1))-AVERAGE(OFFSET($H$3,0,0,'Données projet'!$E$9+1,1))</f>
        <v>193.60868637458515</v>
      </c>
      <c r="T176" s="59">
        <f t="shared" si="142"/>
        <v>272.97841038165217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-1.7053025658242404E-13</v>
      </c>
      <c r="AJ176" s="13">
        <f>AI176*VLOOKUP('Données projet'!$B$10,Paramètres!$A$1:$I$89,3,0)*VLOOKUP('Données projet'!$B$10,Paramètres!$A$1:$I$89,5,0)</f>
        <v>-1.3567387213697657E-13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238.56893947183841</v>
      </c>
      <c r="AO176" s="59">
        <f t="shared" si="144"/>
        <v>292.57799203101769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-1.0286385077051818E-13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277.20405719540543</v>
      </c>
      <c r="BJ176" s="59">
        <f t="shared" si="146"/>
        <v>231.36959598460686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4.4337866711430253E-14</v>
      </c>
      <c r="CA176" s="13">
        <f t="shared" si="170"/>
        <v>7.3222115536967035E-13</v>
      </c>
      <c r="CB176" s="20">
        <f t="shared" si="171"/>
        <v>1.3525069634579169E-12</v>
      </c>
      <c r="CC176" s="59">
        <f t="shared" si="119"/>
        <v>293.33333333333468</v>
      </c>
      <c r="CD176" s="59">
        <f ca="1">AVERAGE(OFFSET($CC$3,0,0,'Données projet'!$E$12+1,1))-AVERAGE(OFFSET($H$3,0,0,'Données projet'!$E$12+1,1))</f>
        <v>288.82868507674738</v>
      </c>
      <c r="CE176" s="59">
        <f t="shared" si="148"/>
        <v>283.48738729114024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5.9487600750732943E-2</v>
      </c>
      <c r="CM176" s="21">
        <f>EXP(-LN(2)/2)*CM175+(1-EXP(-LN(2)/2))/(LN(2)/2)*CG176*CJ176*VLOOKUP('Données projet'!$B$12,Paramètres!$A$1:$I$89,3,0)*0.475*44/12</f>
        <v>9.7930355546408093E-22</v>
      </c>
      <c r="CN176" s="22">
        <f t="shared" si="172"/>
        <v>5.9487600750732943E-2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1.7053025658242404E-13</v>
      </c>
      <c r="O177" s="13">
        <f>N177*VLOOKUP('Données projet'!$B$9,Paramètres!$A$1:$I$89,3,0)*VLOOKUP('Données projet'!$B$9,Paramètres!$A$1:$I$89,5,0)</f>
        <v>1.250327841262333E-13</v>
      </c>
      <c r="P177" s="13">
        <f t="shared" si="141"/>
        <v>1.8301318724634299E-12</v>
      </c>
      <c r="Q177" s="20">
        <f t="shared" si="162"/>
        <v>3.405245110226996E-12</v>
      </c>
      <c r="R177" s="59">
        <f t="shared" si="109"/>
        <v>293.33333333333672</v>
      </c>
      <c r="S177" s="59">
        <f ca="1">AVERAGE(OFFSET($R$3,0,0,'Données projet'!$E$9+1,1))-AVERAGE(OFFSET($H$3,0,0,'Données projet'!$E$9+1,1))</f>
        <v>193.60868637458515</v>
      </c>
      <c r="T177" s="59">
        <f t="shared" si="142"/>
        <v>272.97841038165217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-1.7053025658242404E-13</v>
      </c>
      <c r="AJ177" s="13">
        <f>AI177*VLOOKUP('Données projet'!$B$10,Paramètres!$A$1:$I$89,3,0)*VLOOKUP('Données projet'!$B$10,Paramètres!$A$1:$I$89,5,0)</f>
        <v>-1.3567387213697657E-13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238.56893947183841</v>
      </c>
      <c r="AO177" s="59">
        <f t="shared" si="144"/>
        <v>292.57799203101769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-1.0286385077051818E-13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277.20405719540543</v>
      </c>
      <c r="BJ177" s="59">
        <f t="shared" si="146"/>
        <v>231.36959598460686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4.4337866711430253E-14</v>
      </c>
      <c r="CA177" s="13">
        <f t="shared" si="170"/>
        <v>7.3222115536967035E-13</v>
      </c>
      <c r="CB177" s="20">
        <f t="shared" si="171"/>
        <v>1.3525069634579169E-12</v>
      </c>
      <c r="CC177" s="59">
        <f t="shared" si="119"/>
        <v>293.33333333333468</v>
      </c>
      <c r="CD177" s="59">
        <f ca="1">AVERAGE(OFFSET($CC$3,0,0,'Données projet'!$E$12+1,1))-AVERAGE(OFFSET($H$3,0,0,'Données projet'!$E$12+1,1))</f>
        <v>288.82868507674738</v>
      </c>
      <c r="CE177" s="59">
        <f t="shared" si="148"/>
        <v>283.48738729114024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5.7860909179887191E-2</v>
      </c>
      <c r="CM177" s="21">
        <f>EXP(-LN(2)/2)*CM176+(1-EXP(-LN(2)/2))/(LN(2)/2)*CG177*CJ177*VLOOKUP('Données projet'!$B$12,Paramètres!$A$1:$I$89,3,0)*0.475*44/12</f>
        <v>6.9247218490874789E-22</v>
      </c>
      <c r="CN177" s="22">
        <f t="shared" si="172"/>
        <v>5.7860909179887191E-2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1.7053025658242404E-13</v>
      </c>
      <c r="O178" s="13">
        <f>N178*VLOOKUP('Données projet'!$B$9,Paramètres!$A$1:$I$89,3,0)*VLOOKUP('Données projet'!$B$9,Paramètres!$A$1:$I$89,5,0)</f>
        <v>1.250327841262333E-13</v>
      </c>
      <c r="P178" s="13">
        <f t="shared" si="141"/>
        <v>1.8301318724634299E-12</v>
      </c>
      <c r="Q178" s="20">
        <f t="shared" si="162"/>
        <v>3.405245110226996E-12</v>
      </c>
      <c r="R178" s="59">
        <f t="shared" si="109"/>
        <v>293.33333333333672</v>
      </c>
      <c r="S178" s="59">
        <f ca="1">AVERAGE(OFFSET($R$3,0,0,'Données projet'!$E$9+1,1))-AVERAGE(OFFSET($H$3,0,0,'Données projet'!$E$9+1,1))</f>
        <v>193.60868637458515</v>
      </c>
      <c r="T178" s="59">
        <f t="shared" si="142"/>
        <v>272.97841038165217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-1.7053025658242404E-13</v>
      </c>
      <c r="AJ178" s="13">
        <f>AI178*VLOOKUP('Données projet'!$B$10,Paramètres!$A$1:$I$89,3,0)*VLOOKUP('Données projet'!$B$10,Paramètres!$A$1:$I$89,5,0)</f>
        <v>-1.3567387213697657E-13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238.56893947183841</v>
      </c>
      <c r="AO178" s="59">
        <f t="shared" si="144"/>
        <v>292.57799203101769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-1.0286385077051818E-13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277.20405719540543</v>
      </c>
      <c r="BJ178" s="59">
        <f t="shared" si="146"/>
        <v>231.36959598460686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4.4337866711430253E-14</v>
      </c>
      <c r="CA178" s="13">
        <f t="shared" si="170"/>
        <v>7.3222115536967035E-13</v>
      </c>
      <c r="CB178" s="20">
        <f t="shared" si="171"/>
        <v>1.3525069634579169E-12</v>
      </c>
      <c r="CC178" s="59">
        <f t="shared" si="119"/>
        <v>293.33333333333468</v>
      </c>
      <c r="CD178" s="59">
        <f ca="1">AVERAGE(OFFSET($CC$3,0,0,'Données projet'!$E$12+1,1))-AVERAGE(OFFSET($H$3,0,0,'Données projet'!$E$12+1,1))</f>
        <v>288.82868507674738</v>
      </c>
      <c r="CE178" s="59">
        <f t="shared" si="148"/>
        <v>283.48738729114024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5.6278699575590202E-2</v>
      </c>
      <c r="CM178" s="21">
        <f>EXP(-LN(2)/2)*CM177+(1-EXP(-LN(2)/2))/(LN(2)/2)*CG178*CJ178*VLOOKUP('Données projet'!$B$12,Paramètres!$A$1:$I$89,3,0)*0.475*44/12</f>
        <v>4.8965177773204047E-22</v>
      </c>
      <c r="CN178" s="22">
        <f t="shared" si="172"/>
        <v>5.6278699575590202E-2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1.7053025658242404E-13</v>
      </c>
      <c r="O179" s="13">
        <f>N179*VLOOKUP('Données projet'!$B$9,Paramètres!$A$1:$I$89,3,0)*VLOOKUP('Données projet'!$B$9,Paramètres!$A$1:$I$89,5,0)</f>
        <v>1.250327841262333E-13</v>
      </c>
      <c r="P179" s="13">
        <f t="shared" si="141"/>
        <v>1.8301318724634299E-12</v>
      </c>
      <c r="Q179" s="20">
        <f t="shared" si="162"/>
        <v>3.405245110226996E-12</v>
      </c>
      <c r="R179" s="59">
        <f t="shared" si="109"/>
        <v>293.33333333333672</v>
      </c>
      <c r="S179" s="59">
        <f ca="1">AVERAGE(OFFSET($R$3,0,0,'Données projet'!$E$9+1,1))-AVERAGE(OFFSET($H$3,0,0,'Données projet'!$E$9+1,1))</f>
        <v>193.60868637458515</v>
      </c>
      <c r="T179" s="59">
        <f t="shared" si="142"/>
        <v>272.97841038165217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-1.7053025658242404E-13</v>
      </c>
      <c r="AJ179" s="13">
        <f>AI179*VLOOKUP('Données projet'!$B$10,Paramètres!$A$1:$I$89,3,0)*VLOOKUP('Données projet'!$B$10,Paramètres!$A$1:$I$89,5,0)</f>
        <v>-1.3567387213697657E-13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238.56893947183841</v>
      </c>
      <c r="AO179" s="59">
        <f t="shared" si="144"/>
        <v>292.57799203101769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-1.0286385077051818E-13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277.20405719540543</v>
      </c>
      <c r="BJ179" s="59">
        <f t="shared" si="146"/>
        <v>231.36959598460686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4.4337866711430253E-14</v>
      </c>
      <c r="CA179" s="13">
        <f t="shared" si="170"/>
        <v>7.3222115536967035E-13</v>
      </c>
      <c r="CB179" s="20">
        <f t="shared" si="171"/>
        <v>1.3525069634579169E-12</v>
      </c>
      <c r="CC179" s="59">
        <f t="shared" si="119"/>
        <v>293.33333333333468</v>
      </c>
      <c r="CD179" s="59">
        <f ca="1">AVERAGE(OFFSET($CC$3,0,0,'Données projet'!$E$12+1,1))-AVERAGE(OFFSET($H$3,0,0,'Données projet'!$E$12+1,1))</f>
        <v>288.82868507674738</v>
      </c>
      <c r="CE179" s="59">
        <f t="shared" si="148"/>
        <v>283.48738729114024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5.4739755576127501E-2</v>
      </c>
      <c r="CM179" s="21">
        <f>EXP(-LN(2)/2)*CM178+(1-EXP(-LN(2)/2))/(LN(2)/2)*CG179*CJ179*VLOOKUP('Données projet'!$B$12,Paramètres!$A$1:$I$89,3,0)*0.475*44/12</f>
        <v>3.4623609245437394E-22</v>
      </c>
      <c r="CN179" s="22">
        <f t="shared" si="172"/>
        <v>5.4739755576127501E-2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1.7053025658242404E-13</v>
      </c>
      <c r="O180" s="13">
        <f>N180*VLOOKUP('Données projet'!$B$9,Paramètres!$A$1:$I$89,3,0)*VLOOKUP('Données projet'!$B$9,Paramètres!$A$1:$I$89,5,0)</f>
        <v>1.250327841262333E-13</v>
      </c>
      <c r="P180" s="13">
        <f t="shared" si="141"/>
        <v>1.8301318724634299E-12</v>
      </c>
      <c r="Q180" s="20">
        <f t="shared" si="162"/>
        <v>3.405245110226996E-12</v>
      </c>
      <c r="R180" s="59">
        <f t="shared" si="109"/>
        <v>293.33333333333672</v>
      </c>
      <c r="S180" s="59">
        <f ca="1">AVERAGE(OFFSET($R$3,0,0,'Données projet'!$E$9+1,1))-AVERAGE(OFFSET($H$3,0,0,'Données projet'!$E$9+1,1))</f>
        <v>193.60868637458515</v>
      </c>
      <c r="T180" s="59">
        <f t="shared" si="142"/>
        <v>272.97841038165217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-1.7053025658242404E-13</v>
      </c>
      <c r="AJ180" s="13">
        <f>AI180*VLOOKUP('Données projet'!$B$10,Paramètres!$A$1:$I$89,3,0)*VLOOKUP('Données projet'!$B$10,Paramètres!$A$1:$I$89,5,0)</f>
        <v>-1.3567387213697657E-13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238.56893947183841</v>
      </c>
      <c r="AO180" s="59">
        <f t="shared" si="144"/>
        <v>292.57799203101769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-1.0286385077051818E-13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277.20405719540543</v>
      </c>
      <c r="BJ180" s="59">
        <f t="shared" si="146"/>
        <v>231.36959598460686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4.4337866711430253E-14</v>
      </c>
      <c r="CA180" s="13">
        <f t="shared" si="170"/>
        <v>7.3222115536967035E-13</v>
      </c>
      <c r="CB180" s="20">
        <f t="shared" si="171"/>
        <v>1.3525069634579169E-12</v>
      </c>
      <c r="CC180" s="59">
        <f t="shared" si="119"/>
        <v>293.33333333333468</v>
      </c>
      <c r="CD180" s="59">
        <f ca="1">AVERAGE(OFFSET($CC$3,0,0,'Données projet'!$E$12+1,1))-AVERAGE(OFFSET($H$3,0,0,'Données projet'!$E$12+1,1))</f>
        <v>288.82868507674738</v>
      </c>
      <c r="CE180" s="59">
        <f t="shared" si="148"/>
        <v>283.48738729114024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5.3242894081259658E-2</v>
      </c>
      <c r="CM180" s="21">
        <f>EXP(-LN(2)/2)*CM179+(1-EXP(-LN(2)/2))/(LN(2)/2)*CG180*CJ180*VLOOKUP('Données projet'!$B$12,Paramètres!$A$1:$I$89,3,0)*0.475*44/12</f>
        <v>2.4482588886602023E-22</v>
      </c>
      <c r="CN180" s="22">
        <f t="shared" si="172"/>
        <v>5.3242894081259658E-2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1.7053025658242404E-13</v>
      </c>
      <c r="O181" s="13">
        <f>N181*VLOOKUP('Données projet'!$B$9,Paramètres!$A$1:$I$89,3,0)*VLOOKUP('Données projet'!$B$9,Paramètres!$A$1:$I$89,5,0)</f>
        <v>1.250327841262333E-13</v>
      </c>
      <c r="P181" s="13">
        <f t="shared" si="141"/>
        <v>1.8301318724634299E-12</v>
      </c>
      <c r="Q181" s="20">
        <f t="shared" si="162"/>
        <v>3.405245110226996E-12</v>
      </c>
      <c r="R181" s="59">
        <f t="shared" si="109"/>
        <v>293.33333333333672</v>
      </c>
      <c r="S181" s="59">
        <f ca="1">AVERAGE(OFFSET($R$3,0,0,'Données projet'!$E$9+1,1))-AVERAGE(OFFSET($H$3,0,0,'Données projet'!$E$9+1,1))</f>
        <v>193.60868637458515</v>
      </c>
      <c r="T181" s="59">
        <f t="shared" si="142"/>
        <v>272.97841038165217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-1.7053025658242404E-13</v>
      </c>
      <c r="AJ181" s="13">
        <f>AI181*VLOOKUP('Données projet'!$B$10,Paramètres!$A$1:$I$89,3,0)*VLOOKUP('Données projet'!$B$10,Paramètres!$A$1:$I$89,5,0)</f>
        <v>-1.3567387213697657E-13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238.56893947183841</v>
      </c>
      <c r="AO181" s="59">
        <f t="shared" si="144"/>
        <v>292.57799203101769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-1.0286385077051818E-13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277.20405719540543</v>
      </c>
      <c r="BJ181" s="59">
        <f t="shared" si="146"/>
        <v>231.36959598460686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4.4337866711430253E-14</v>
      </c>
      <c r="CA181" s="13">
        <f t="shared" si="170"/>
        <v>7.3222115536967035E-13</v>
      </c>
      <c r="CB181" s="20">
        <f t="shared" si="171"/>
        <v>1.3525069634579169E-12</v>
      </c>
      <c r="CC181" s="59">
        <f t="shared" si="119"/>
        <v>293.33333333333468</v>
      </c>
      <c r="CD181" s="59">
        <f ca="1">AVERAGE(OFFSET($CC$3,0,0,'Données projet'!$E$12+1,1))-AVERAGE(OFFSET($H$3,0,0,'Données projet'!$E$12+1,1))</f>
        <v>288.82868507674738</v>
      </c>
      <c r="CE181" s="59">
        <f t="shared" si="148"/>
        <v>283.48738729114024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5.1786964342685503E-2</v>
      </c>
      <c r="CM181" s="21">
        <f>EXP(-LN(2)/2)*CM180+(1-EXP(-LN(2)/2))/(LN(2)/2)*CG181*CJ181*VLOOKUP('Données projet'!$B$12,Paramètres!$A$1:$I$89,3,0)*0.475*44/12</f>
        <v>1.7311804622718697E-22</v>
      </c>
      <c r="CN181" s="22">
        <f t="shared" si="172"/>
        <v>5.1786964342685503E-2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1.7053025658242404E-13</v>
      </c>
      <c r="O182" s="13">
        <f>N182*VLOOKUP('Données projet'!$B$9,Paramètres!$A$1:$I$89,3,0)*VLOOKUP('Données projet'!$B$9,Paramètres!$A$1:$I$89,5,0)</f>
        <v>1.250327841262333E-13</v>
      </c>
      <c r="P182" s="13">
        <f t="shared" si="141"/>
        <v>1.8301318724634299E-12</v>
      </c>
      <c r="Q182" s="20">
        <f t="shared" si="162"/>
        <v>3.405245110226996E-12</v>
      </c>
      <c r="R182" s="59">
        <f t="shared" si="109"/>
        <v>293.33333333333672</v>
      </c>
      <c r="S182" s="59">
        <f ca="1">AVERAGE(OFFSET($R$3,0,0,'Données projet'!$E$9+1,1))-AVERAGE(OFFSET($H$3,0,0,'Données projet'!$E$9+1,1))</f>
        <v>193.60868637458515</v>
      </c>
      <c r="T182" s="59">
        <f t="shared" si="142"/>
        <v>272.97841038165217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-1.7053025658242404E-13</v>
      </c>
      <c r="AJ182" s="13">
        <f>AI182*VLOOKUP('Données projet'!$B$10,Paramètres!$A$1:$I$89,3,0)*VLOOKUP('Données projet'!$B$10,Paramètres!$A$1:$I$89,5,0)</f>
        <v>-1.3567387213697657E-13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238.56893947183841</v>
      </c>
      <c r="AO182" s="59">
        <f t="shared" si="144"/>
        <v>292.57799203101769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-1.0286385077051818E-13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277.20405719540543</v>
      </c>
      <c r="BJ182" s="59">
        <f t="shared" si="146"/>
        <v>231.36959598460686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4.4337866711430253E-14</v>
      </c>
      <c r="CA182" s="13">
        <f t="shared" si="170"/>
        <v>7.3222115536967035E-13</v>
      </c>
      <c r="CB182" s="20">
        <f t="shared" si="171"/>
        <v>1.3525069634579169E-12</v>
      </c>
      <c r="CC182" s="59">
        <f t="shared" si="119"/>
        <v>293.33333333333468</v>
      </c>
      <c r="CD182" s="59">
        <f ca="1">AVERAGE(OFFSET($CC$3,0,0,'Données projet'!$E$12+1,1))-AVERAGE(OFFSET($H$3,0,0,'Données projet'!$E$12+1,1))</f>
        <v>288.82868507674738</v>
      </c>
      <c r="CE182" s="59">
        <f t="shared" si="148"/>
        <v>283.48738729114024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5.0370847079376675E-2</v>
      </c>
      <c r="CM182" s="21">
        <f>EXP(-LN(2)/2)*CM181+(1-EXP(-LN(2)/2))/(LN(2)/2)*CG182*CJ182*VLOOKUP('Données projet'!$B$12,Paramètres!$A$1:$I$89,3,0)*0.475*44/12</f>
        <v>1.2241294443301012E-22</v>
      </c>
      <c r="CN182" s="22">
        <f t="shared" si="172"/>
        <v>5.0370847079376675E-2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1.7053025658242404E-13</v>
      </c>
      <c r="O183" s="13">
        <f>N183*VLOOKUP('Données projet'!$B$9,Paramètres!$A$1:$I$89,3,0)*VLOOKUP('Données projet'!$B$9,Paramètres!$A$1:$I$89,5,0)</f>
        <v>1.250327841262333E-13</v>
      </c>
      <c r="P183" s="13">
        <f t="shared" si="141"/>
        <v>1.8301318724634299E-12</v>
      </c>
      <c r="Q183" s="20">
        <f t="shared" si="162"/>
        <v>3.405245110226996E-12</v>
      </c>
      <c r="R183" s="59">
        <f t="shared" si="109"/>
        <v>293.33333333333672</v>
      </c>
      <c r="S183" s="59">
        <f ca="1">AVERAGE(OFFSET($R$3,0,0,'Données projet'!$E$9+1,1))-AVERAGE(OFFSET($H$3,0,0,'Données projet'!$E$9+1,1))</f>
        <v>193.60868637458515</v>
      </c>
      <c r="T183" s="59">
        <f t="shared" si="142"/>
        <v>272.97841038165217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-1.7053025658242404E-13</v>
      </c>
      <c r="AJ183" s="13">
        <f>AI183*VLOOKUP('Données projet'!$B$10,Paramètres!$A$1:$I$89,3,0)*VLOOKUP('Données projet'!$B$10,Paramètres!$A$1:$I$89,5,0)</f>
        <v>-1.3567387213697657E-13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238.56893947183841</v>
      </c>
      <c r="AO183" s="59">
        <f t="shared" si="144"/>
        <v>292.57799203101769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-1.0286385077051818E-13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277.20405719540543</v>
      </c>
      <c r="BJ183" s="59">
        <f t="shared" si="146"/>
        <v>231.36959598460686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4.4337866711430253E-14</v>
      </c>
      <c r="CA183" s="13">
        <f t="shared" si="170"/>
        <v>7.3222115536967035E-13</v>
      </c>
      <c r="CB183" s="20">
        <f t="shared" si="171"/>
        <v>1.3525069634579169E-12</v>
      </c>
      <c r="CC183" s="59">
        <f t="shared" si="119"/>
        <v>293.33333333333468</v>
      </c>
      <c r="CD183" s="59">
        <f ca="1">AVERAGE(OFFSET($CC$3,0,0,'Données projet'!$E$12+1,1))-AVERAGE(OFFSET($H$3,0,0,'Données projet'!$E$12+1,1))</f>
        <v>288.82868507674738</v>
      </c>
      <c r="CE183" s="59">
        <f t="shared" si="148"/>
        <v>283.48738729114024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4.8993453617103395E-2</v>
      </c>
      <c r="CM183" s="21">
        <f>EXP(-LN(2)/2)*CM182+(1-EXP(-LN(2)/2))/(LN(2)/2)*CG183*CJ183*VLOOKUP('Données projet'!$B$12,Paramètres!$A$1:$I$89,3,0)*0.475*44/12</f>
        <v>8.6559023113593486E-23</v>
      </c>
      <c r="CN183" s="22">
        <f t="shared" si="172"/>
        <v>4.8993453617103395E-2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1.7053025658242404E-13</v>
      </c>
      <c r="O184" s="13">
        <f>N184*VLOOKUP('Données projet'!$B$9,Paramètres!$A$1:$I$89,3,0)*VLOOKUP('Données projet'!$B$9,Paramètres!$A$1:$I$89,5,0)</f>
        <v>1.250327841262333E-13</v>
      </c>
      <c r="P184" s="13">
        <f t="shared" si="141"/>
        <v>1.8301318724634299E-12</v>
      </c>
      <c r="Q184" s="20">
        <f t="shared" si="162"/>
        <v>3.405245110226996E-12</v>
      </c>
      <c r="R184" s="59">
        <f t="shared" si="109"/>
        <v>293.33333333333672</v>
      </c>
      <c r="S184" s="59">
        <f ca="1">AVERAGE(OFFSET($R$3,0,0,'Données projet'!$E$9+1,1))-AVERAGE(OFFSET($H$3,0,0,'Données projet'!$E$9+1,1))</f>
        <v>193.60868637458515</v>
      </c>
      <c r="T184" s="59">
        <f t="shared" si="142"/>
        <v>272.97841038165217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-1.7053025658242404E-13</v>
      </c>
      <c r="AJ184" s="13">
        <f>AI184*VLOOKUP('Données projet'!$B$10,Paramètres!$A$1:$I$89,3,0)*VLOOKUP('Données projet'!$B$10,Paramètres!$A$1:$I$89,5,0)</f>
        <v>-1.3567387213697657E-13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238.56893947183841</v>
      </c>
      <c r="AO184" s="59">
        <f t="shared" si="144"/>
        <v>292.57799203101769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-1.0286385077051818E-13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277.20405719540543</v>
      </c>
      <c r="BJ184" s="59">
        <f t="shared" si="146"/>
        <v>231.36959598460686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4.4337866711430253E-14</v>
      </c>
      <c r="CA184" s="13">
        <f t="shared" si="170"/>
        <v>7.3222115536967035E-13</v>
      </c>
      <c r="CB184" s="20">
        <f t="shared" si="171"/>
        <v>1.3525069634579169E-12</v>
      </c>
      <c r="CC184" s="59">
        <f t="shared" si="119"/>
        <v>293.33333333333468</v>
      </c>
      <c r="CD184" s="59">
        <f ca="1">AVERAGE(OFFSET($CC$3,0,0,'Données projet'!$E$12+1,1))-AVERAGE(OFFSET($H$3,0,0,'Données projet'!$E$12+1,1))</f>
        <v>288.82868507674738</v>
      </c>
      <c r="CE184" s="59">
        <f t="shared" si="148"/>
        <v>283.48738729114024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4.7653725051489952E-2</v>
      </c>
      <c r="CM184" s="21">
        <f>EXP(-LN(2)/2)*CM183+(1-EXP(-LN(2)/2))/(LN(2)/2)*CG184*CJ184*VLOOKUP('Données projet'!$B$12,Paramètres!$A$1:$I$89,3,0)*0.475*44/12</f>
        <v>6.1206472216505058E-23</v>
      </c>
      <c r="CN184" s="22">
        <f t="shared" si="172"/>
        <v>4.7653725051489952E-2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1.7053025658242404E-13</v>
      </c>
      <c r="O185" s="13">
        <f>N185*VLOOKUP('Données projet'!$B$9,Paramètres!$A$1:$I$89,3,0)*VLOOKUP('Données projet'!$B$9,Paramètres!$A$1:$I$89,5,0)</f>
        <v>1.250327841262333E-13</v>
      </c>
      <c r="P185" s="13">
        <f t="shared" si="141"/>
        <v>1.8301318724634299E-12</v>
      </c>
      <c r="Q185" s="20">
        <f t="shared" si="162"/>
        <v>3.405245110226996E-12</v>
      </c>
      <c r="R185" s="59">
        <f t="shared" si="109"/>
        <v>293.33333333333672</v>
      </c>
      <c r="S185" s="59">
        <f ca="1">AVERAGE(OFFSET($R$3,0,0,'Données projet'!$E$9+1,1))-AVERAGE(OFFSET($H$3,0,0,'Données projet'!$E$9+1,1))</f>
        <v>193.60868637458515</v>
      </c>
      <c r="T185" s="59">
        <f t="shared" si="142"/>
        <v>272.97841038165217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-1.7053025658242404E-13</v>
      </c>
      <c r="AJ185" s="13">
        <f>AI185*VLOOKUP('Données projet'!$B$10,Paramètres!$A$1:$I$89,3,0)*VLOOKUP('Données projet'!$B$10,Paramètres!$A$1:$I$89,5,0)</f>
        <v>-1.3567387213697657E-13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238.56893947183841</v>
      </c>
      <c r="AO185" s="59">
        <f t="shared" si="144"/>
        <v>292.57799203101769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-1.0286385077051818E-13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277.20405719540543</v>
      </c>
      <c r="BJ185" s="59">
        <f t="shared" si="146"/>
        <v>231.36959598460686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4.4337866711430253E-14</v>
      </c>
      <c r="CA185" s="13">
        <f t="shared" si="170"/>
        <v>7.3222115536967035E-13</v>
      </c>
      <c r="CB185" s="20">
        <f t="shared" si="171"/>
        <v>1.3525069634579169E-12</v>
      </c>
      <c r="CC185" s="59">
        <f t="shared" si="119"/>
        <v>293.33333333333468</v>
      </c>
      <c r="CD185" s="59">
        <f ca="1">AVERAGE(OFFSET($CC$3,0,0,'Données projet'!$E$12+1,1))-AVERAGE(OFFSET($H$3,0,0,'Données projet'!$E$12+1,1))</f>
        <v>288.82868507674738</v>
      </c>
      <c r="CE185" s="59">
        <f t="shared" si="148"/>
        <v>283.48738729114024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4.6350631433956471E-2</v>
      </c>
      <c r="CM185" s="21">
        <f>EXP(-LN(2)/2)*CM184+(1-EXP(-LN(2)/2))/(LN(2)/2)*CG185*CJ185*VLOOKUP('Données projet'!$B$12,Paramètres!$A$1:$I$89,3,0)*0.475*44/12</f>
        <v>4.3279511556796743E-23</v>
      </c>
      <c r="CN185" s="22">
        <f t="shared" si="172"/>
        <v>4.6350631433956471E-2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1.7053025658242404E-13</v>
      </c>
      <c r="O186" s="13">
        <f>N186*VLOOKUP('Données projet'!$B$9,Paramètres!$A$1:$I$89,3,0)*VLOOKUP('Données projet'!$B$9,Paramètres!$A$1:$I$89,5,0)</f>
        <v>1.250327841262333E-13</v>
      </c>
      <c r="P186" s="13">
        <f t="shared" si="141"/>
        <v>1.8301318724634299E-12</v>
      </c>
      <c r="Q186" s="20">
        <f t="shared" si="162"/>
        <v>3.405245110226996E-12</v>
      </c>
      <c r="R186" s="59">
        <f t="shared" si="109"/>
        <v>293.33333333333672</v>
      </c>
      <c r="S186" s="59">
        <f ca="1">AVERAGE(OFFSET($R$3,0,0,'Données projet'!$E$9+1,1))-AVERAGE(OFFSET($H$3,0,0,'Données projet'!$E$9+1,1))</f>
        <v>193.60868637458515</v>
      </c>
      <c r="T186" s="59">
        <f t="shared" si="142"/>
        <v>272.97841038165217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-1.7053025658242404E-13</v>
      </c>
      <c r="AJ186" s="13">
        <f>AI186*VLOOKUP('Données projet'!$B$10,Paramètres!$A$1:$I$89,3,0)*VLOOKUP('Données projet'!$B$10,Paramètres!$A$1:$I$89,5,0)</f>
        <v>-1.3567387213697657E-13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238.56893947183841</v>
      </c>
      <c r="AO186" s="59">
        <f t="shared" si="144"/>
        <v>292.57799203101769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-1.0286385077051818E-13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277.20405719540543</v>
      </c>
      <c r="BJ186" s="59">
        <f t="shared" si="146"/>
        <v>231.36959598460686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4.4337866711430253E-14</v>
      </c>
      <c r="CA186" s="13">
        <f t="shared" si="170"/>
        <v>7.3222115536967035E-13</v>
      </c>
      <c r="CB186" s="20">
        <f t="shared" si="171"/>
        <v>1.3525069634579169E-12</v>
      </c>
      <c r="CC186" s="59">
        <f t="shared" si="119"/>
        <v>293.33333333333468</v>
      </c>
      <c r="CD186" s="59">
        <f ca="1">AVERAGE(OFFSET($CC$3,0,0,'Données projet'!$E$12+1,1))-AVERAGE(OFFSET($H$3,0,0,'Données projet'!$E$12+1,1))</f>
        <v>288.82868507674738</v>
      </c>
      <c r="CE186" s="59">
        <f t="shared" si="148"/>
        <v>283.48738729114024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4.5083170979921157E-2</v>
      </c>
      <c r="CM186" s="21">
        <f>EXP(-LN(2)/2)*CM185+(1-EXP(-LN(2)/2))/(LN(2)/2)*CG186*CJ186*VLOOKUP('Données projet'!$B$12,Paramètres!$A$1:$I$89,3,0)*0.475*44/12</f>
        <v>3.0603236108252529E-23</v>
      </c>
      <c r="CN186" s="22">
        <f t="shared" si="172"/>
        <v>4.5083170979921157E-2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1.7053025658242404E-13</v>
      </c>
      <c r="O187" s="13">
        <f>N187*VLOOKUP('Données projet'!$B$9,Paramètres!$A$1:$I$89,3,0)*VLOOKUP('Données projet'!$B$9,Paramètres!$A$1:$I$89,5,0)</f>
        <v>1.250327841262333E-13</v>
      </c>
      <c r="P187" s="13">
        <f t="shared" si="141"/>
        <v>1.8301318724634299E-12</v>
      </c>
      <c r="Q187" s="20">
        <f t="shared" si="162"/>
        <v>3.405245110226996E-12</v>
      </c>
      <c r="R187" s="59">
        <f t="shared" si="109"/>
        <v>293.33333333333672</v>
      </c>
      <c r="S187" s="59">
        <f ca="1">AVERAGE(OFFSET($R$3,0,0,'Données projet'!$E$9+1,1))-AVERAGE(OFFSET($H$3,0,0,'Données projet'!$E$9+1,1))</f>
        <v>193.60868637458515</v>
      </c>
      <c r="T187" s="59">
        <f t="shared" si="142"/>
        <v>272.97841038165217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-1.7053025658242404E-13</v>
      </c>
      <c r="AJ187" s="13">
        <f>AI187*VLOOKUP('Données projet'!$B$10,Paramètres!$A$1:$I$89,3,0)*VLOOKUP('Données projet'!$B$10,Paramètres!$A$1:$I$89,5,0)</f>
        <v>-1.3567387213697657E-13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238.56893947183841</v>
      </c>
      <c r="AO187" s="59">
        <f t="shared" si="144"/>
        <v>292.57799203101769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-1.0286385077051818E-13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277.20405719540543</v>
      </c>
      <c r="BJ187" s="59">
        <f t="shared" si="146"/>
        <v>231.36959598460686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4.4337866711430253E-14</v>
      </c>
      <c r="CA187" s="13">
        <f t="shared" si="170"/>
        <v>7.3222115536967035E-13</v>
      </c>
      <c r="CB187" s="20">
        <f t="shared" si="171"/>
        <v>1.3525069634579169E-12</v>
      </c>
      <c r="CC187" s="59">
        <f t="shared" si="119"/>
        <v>293.33333333333468</v>
      </c>
      <c r="CD187" s="59">
        <f ca="1">AVERAGE(OFFSET($CC$3,0,0,'Données projet'!$E$12+1,1))-AVERAGE(OFFSET($H$3,0,0,'Données projet'!$E$12+1,1))</f>
        <v>288.82868507674738</v>
      </c>
      <c r="CE187" s="59">
        <f t="shared" si="148"/>
        <v>283.48738729114024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4.3850369298654289E-2</v>
      </c>
      <c r="CM187" s="21">
        <f>EXP(-LN(2)/2)*CM186+(1-EXP(-LN(2)/2))/(LN(2)/2)*CG187*CJ187*VLOOKUP('Données projet'!$B$12,Paramètres!$A$1:$I$89,3,0)*0.475*44/12</f>
        <v>2.1639755778398372E-23</v>
      </c>
      <c r="CN187" s="22">
        <f t="shared" si="172"/>
        <v>4.3850369298654289E-2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1.7053025658242404E-13</v>
      </c>
      <c r="O188" s="13">
        <f>N188*VLOOKUP('Données projet'!$B$9,Paramètres!$A$1:$I$89,3,0)*VLOOKUP('Données projet'!$B$9,Paramètres!$A$1:$I$89,5,0)</f>
        <v>1.250327841262333E-13</v>
      </c>
      <c r="P188" s="13">
        <f t="shared" si="141"/>
        <v>1.8301318724634299E-12</v>
      </c>
      <c r="Q188" s="20">
        <f t="shared" si="162"/>
        <v>3.405245110226996E-12</v>
      </c>
      <c r="R188" s="59">
        <f t="shared" si="109"/>
        <v>293.33333333333672</v>
      </c>
      <c r="S188" s="59">
        <f ca="1">AVERAGE(OFFSET($R$3,0,0,'Données projet'!$E$9+1,1))-AVERAGE(OFFSET($H$3,0,0,'Données projet'!$E$9+1,1))</f>
        <v>193.60868637458515</v>
      </c>
      <c r="T188" s="59">
        <f t="shared" si="142"/>
        <v>272.97841038165217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-1.7053025658242404E-13</v>
      </c>
      <c r="AJ188" s="13">
        <f>AI188*VLOOKUP('Données projet'!$B$10,Paramètres!$A$1:$I$89,3,0)*VLOOKUP('Données projet'!$B$10,Paramètres!$A$1:$I$89,5,0)</f>
        <v>-1.3567387213697657E-13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238.56893947183841</v>
      </c>
      <c r="AO188" s="59">
        <f t="shared" si="144"/>
        <v>292.57799203101769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-1.0286385077051818E-13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277.20405719540543</v>
      </c>
      <c r="BJ188" s="59">
        <f t="shared" si="146"/>
        <v>231.36959598460686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4.4337866711430253E-14</v>
      </c>
      <c r="CA188" s="13">
        <f t="shared" si="170"/>
        <v>7.3222115536967035E-13</v>
      </c>
      <c r="CB188" s="20">
        <f t="shared" si="171"/>
        <v>1.3525069634579169E-12</v>
      </c>
      <c r="CC188" s="59">
        <f t="shared" si="119"/>
        <v>293.33333333333468</v>
      </c>
      <c r="CD188" s="59">
        <f ca="1">AVERAGE(OFFSET($CC$3,0,0,'Données projet'!$E$12+1,1))-AVERAGE(OFFSET($H$3,0,0,'Données projet'!$E$12+1,1))</f>
        <v>288.82868507674738</v>
      </c>
      <c r="CE188" s="59">
        <f t="shared" si="148"/>
        <v>283.48738729114024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4.2651278644191888E-2</v>
      </c>
      <c r="CM188" s="21">
        <f>EXP(-LN(2)/2)*CM187+(1-EXP(-LN(2)/2))/(LN(2)/2)*CG188*CJ188*VLOOKUP('Données projet'!$B$12,Paramètres!$A$1:$I$89,3,0)*0.475*44/12</f>
        <v>1.5301618054126265E-23</v>
      </c>
      <c r="CN188" s="22">
        <f t="shared" si="172"/>
        <v>4.2651278644191888E-2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1.7053025658242404E-13</v>
      </c>
      <c r="O189" s="13">
        <f>N189*VLOOKUP('Données projet'!$B$9,Paramètres!$A$1:$I$89,3,0)*VLOOKUP('Données projet'!$B$9,Paramètres!$A$1:$I$89,5,0)</f>
        <v>1.250327841262333E-13</v>
      </c>
      <c r="P189" s="13">
        <f t="shared" si="141"/>
        <v>1.8301318724634299E-12</v>
      </c>
      <c r="Q189" s="20">
        <f t="shared" si="162"/>
        <v>3.405245110226996E-12</v>
      </c>
      <c r="R189" s="59">
        <f t="shared" si="109"/>
        <v>293.33333333333672</v>
      </c>
      <c r="S189" s="59">
        <f ca="1">AVERAGE(OFFSET($R$3,0,0,'Données projet'!$E$9+1,1))-AVERAGE(OFFSET($H$3,0,0,'Données projet'!$E$9+1,1))</f>
        <v>193.60868637458515</v>
      </c>
      <c r="T189" s="59">
        <f t="shared" si="142"/>
        <v>272.97841038165217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-1.7053025658242404E-13</v>
      </c>
      <c r="AJ189" s="13">
        <f>AI189*VLOOKUP('Données projet'!$B$10,Paramètres!$A$1:$I$89,3,0)*VLOOKUP('Données projet'!$B$10,Paramètres!$A$1:$I$89,5,0)</f>
        <v>-1.3567387213697657E-13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238.56893947183841</v>
      </c>
      <c r="AO189" s="59">
        <f t="shared" si="144"/>
        <v>292.57799203101769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-1.0286385077051818E-13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277.20405719540543</v>
      </c>
      <c r="BJ189" s="59">
        <f t="shared" si="146"/>
        <v>231.36959598460686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4.4337866711430253E-14</v>
      </c>
      <c r="CA189" s="13">
        <f t="shared" si="170"/>
        <v>7.3222115536967035E-13</v>
      </c>
      <c r="CB189" s="20">
        <f t="shared" si="171"/>
        <v>1.3525069634579169E-12</v>
      </c>
      <c r="CC189" s="59">
        <f t="shared" si="119"/>
        <v>293.33333333333468</v>
      </c>
      <c r="CD189" s="59">
        <f ca="1">AVERAGE(OFFSET($CC$3,0,0,'Données projet'!$E$12+1,1))-AVERAGE(OFFSET($H$3,0,0,'Données projet'!$E$12+1,1))</f>
        <v>288.82868507674738</v>
      </c>
      <c r="CE189" s="59">
        <f t="shared" si="148"/>
        <v>283.48738729114024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4.1484977186733198E-2</v>
      </c>
      <c r="CM189" s="21">
        <f>EXP(-LN(2)/2)*CM188+(1-EXP(-LN(2)/2))/(LN(2)/2)*CG189*CJ189*VLOOKUP('Données projet'!$B$12,Paramètres!$A$1:$I$89,3,0)*0.475*44/12</f>
        <v>1.0819877889199186E-23</v>
      </c>
      <c r="CN189" s="22">
        <f t="shared" si="172"/>
        <v>4.1484977186733198E-2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1.7053025658242404E-13</v>
      </c>
      <c r="O190" s="13">
        <f>N190*VLOOKUP('Données projet'!$B$9,Paramètres!$A$1:$I$89,3,0)*VLOOKUP('Données projet'!$B$9,Paramètres!$A$1:$I$89,5,0)</f>
        <v>1.250327841262333E-13</v>
      </c>
      <c r="P190" s="13">
        <f t="shared" si="141"/>
        <v>1.8301318724634299E-12</v>
      </c>
      <c r="Q190" s="20">
        <f t="shared" si="162"/>
        <v>3.405245110226996E-12</v>
      </c>
      <c r="R190" s="59">
        <f t="shared" si="109"/>
        <v>293.33333333333672</v>
      </c>
      <c r="S190" s="59">
        <f ca="1">AVERAGE(OFFSET($R$3,0,0,'Données projet'!$E$9+1,1))-AVERAGE(OFFSET($H$3,0,0,'Données projet'!$E$9+1,1))</f>
        <v>193.60868637458515</v>
      </c>
      <c r="T190" s="59">
        <f t="shared" si="142"/>
        <v>272.97841038165217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-1.7053025658242404E-13</v>
      </c>
      <c r="AJ190" s="13">
        <f>AI190*VLOOKUP('Données projet'!$B$10,Paramètres!$A$1:$I$89,3,0)*VLOOKUP('Données projet'!$B$10,Paramètres!$A$1:$I$89,5,0)</f>
        <v>-1.3567387213697657E-13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238.56893947183841</v>
      </c>
      <c r="AO190" s="59">
        <f t="shared" si="144"/>
        <v>292.57799203101769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-1.0286385077051818E-13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277.20405719540543</v>
      </c>
      <c r="BJ190" s="59">
        <f t="shared" si="146"/>
        <v>231.36959598460686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4.4337866711430253E-14</v>
      </c>
      <c r="CA190" s="13">
        <f t="shared" si="170"/>
        <v>7.3222115536967035E-13</v>
      </c>
      <c r="CB190" s="20">
        <f t="shared" si="171"/>
        <v>1.3525069634579169E-12</v>
      </c>
      <c r="CC190" s="59">
        <f t="shared" si="119"/>
        <v>293.33333333333468</v>
      </c>
      <c r="CD190" s="59">
        <f ca="1">AVERAGE(OFFSET($CC$3,0,0,'Données projet'!$E$12+1,1))-AVERAGE(OFFSET($H$3,0,0,'Données projet'!$E$12+1,1))</f>
        <v>288.82868507674738</v>
      </c>
      <c r="CE190" s="59">
        <f t="shared" si="148"/>
        <v>283.48738729114024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4.0350568303961845E-2</v>
      </c>
      <c r="CM190" s="21">
        <f>EXP(-LN(2)/2)*CM189+(1-EXP(-LN(2)/2))/(LN(2)/2)*CG190*CJ190*VLOOKUP('Données projet'!$B$12,Paramètres!$A$1:$I$89,3,0)*0.475*44/12</f>
        <v>7.6508090270631323E-24</v>
      </c>
      <c r="CN190" s="22">
        <f t="shared" si="172"/>
        <v>4.0350568303961845E-2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1.7053025658242404E-13</v>
      </c>
      <c r="O191" s="13">
        <f>N191*VLOOKUP('Données projet'!$B$9,Paramètres!$A$1:$I$89,3,0)*VLOOKUP('Données projet'!$B$9,Paramètres!$A$1:$I$89,5,0)</f>
        <v>1.250327841262333E-13</v>
      </c>
      <c r="P191" s="13">
        <f t="shared" si="141"/>
        <v>1.8301318724634299E-12</v>
      </c>
      <c r="Q191" s="20">
        <f t="shared" si="162"/>
        <v>3.405245110226996E-12</v>
      </c>
      <c r="R191" s="59">
        <f t="shared" si="109"/>
        <v>293.33333333333672</v>
      </c>
      <c r="S191" s="59">
        <f ca="1">AVERAGE(OFFSET($R$3,0,0,'Données projet'!$E$9+1,1))-AVERAGE(OFFSET($H$3,0,0,'Données projet'!$E$9+1,1))</f>
        <v>193.60868637458515</v>
      </c>
      <c r="T191" s="59">
        <f t="shared" si="142"/>
        <v>272.97841038165217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-1.7053025658242404E-13</v>
      </c>
      <c r="AJ191" s="13">
        <f>AI191*VLOOKUP('Données projet'!$B$10,Paramètres!$A$1:$I$89,3,0)*VLOOKUP('Données projet'!$B$10,Paramètres!$A$1:$I$89,5,0)</f>
        <v>-1.3567387213697657E-13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238.56893947183841</v>
      </c>
      <c r="AO191" s="59">
        <f t="shared" si="144"/>
        <v>292.57799203101769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-1.0286385077051818E-13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277.20405719540543</v>
      </c>
      <c r="BJ191" s="59">
        <f t="shared" si="146"/>
        <v>231.36959598460686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4.4337866711430253E-14</v>
      </c>
      <c r="CA191" s="13">
        <f t="shared" si="170"/>
        <v>7.3222115536967035E-13</v>
      </c>
      <c r="CB191" s="20">
        <f t="shared" si="171"/>
        <v>1.3525069634579169E-12</v>
      </c>
      <c r="CC191" s="59">
        <f t="shared" si="119"/>
        <v>293.33333333333468</v>
      </c>
      <c r="CD191" s="59">
        <f ca="1">AVERAGE(OFFSET($CC$3,0,0,'Données projet'!$E$12+1,1))-AVERAGE(OFFSET($H$3,0,0,'Données projet'!$E$12+1,1))</f>
        <v>288.82868507674738</v>
      </c>
      <c r="CE191" s="59">
        <f t="shared" si="148"/>
        <v>283.48738729114024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3.9247179891745844E-2</v>
      </c>
      <c r="CM191" s="21">
        <f>EXP(-LN(2)/2)*CM190+(1-EXP(-LN(2)/2))/(LN(2)/2)*CG191*CJ191*VLOOKUP('Données projet'!$B$12,Paramètres!$A$1:$I$89,3,0)*0.475*44/12</f>
        <v>5.4099389445995929E-24</v>
      </c>
      <c r="CN191" s="22">
        <f t="shared" si="172"/>
        <v>3.9247179891745844E-2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1.7053025658242404E-13</v>
      </c>
      <c r="O192" s="13">
        <f>N192*VLOOKUP('Données projet'!$B$9,Paramètres!$A$1:$I$89,3,0)*VLOOKUP('Données projet'!$B$9,Paramètres!$A$1:$I$89,5,0)</f>
        <v>1.250327841262333E-13</v>
      </c>
      <c r="P192" s="13">
        <f t="shared" si="141"/>
        <v>1.8301318724634299E-12</v>
      </c>
      <c r="Q192" s="20">
        <f t="shared" si="162"/>
        <v>3.405245110226996E-12</v>
      </c>
      <c r="R192" s="59">
        <f t="shared" si="109"/>
        <v>293.33333333333672</v>
      </c>
      <c r="S192" s="59">
        <f ca="1">AVERAGE(OFFSET($R$3,0,0,'Données projet'!$E$9+1,1))-AVERAGE(OFFSET($H$3,0,0,'Données projet'!$E$9+1,1))</f>
        <v>193.60868637458515</v>
      </c>
      <c r="T192" s="59">
        <f t="shared" si="142"/>
        <v>272.97841038165217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-1.7053025658242404E-13</v>
      </c>
      <c r="AJ192" s="13">
        <f>AI192*VLOOKUP('Données projet'!$B$10,Paramètres!$A$1:$I$89,3,0)*VLOOKUP('Données projet'!$B$10,Paramètres!$A$1:$I$89,5,0)</f>
        <v>-1.3567387213697657E-13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238.56893947183841</v>
      </c>
      <c r="AO192" s="59">
        <f t="shared" si="144"/>
        <v>292.57799203101769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-1.0286385077051818E-13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277.20405719540543</v>
      </c>
      <c r="BJ192" s="59">
        <f t="shared" si="146"/>
        <v>231.36959598460686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4.4337866711430253E-14</v>
      </c>
      <c r="CA192" s="13">
        <f t="shared" si="170"/>
        <v>7.3222115536967035E-13</v>
      </c>
      <c r="CB192" s="20">
        <f t="shared" si="171"/>
        <v>1.3525069634579169E-12</v>
      </c>
      <c r="CC192" s="59">
        <f t="shared" si="119"/>
        <v>293.33333333333468</v>
      </c>
      <c r="CD192" s="59">
        <f ca="1">AVERAGE(OFFSET($CC$3,0,0,'Données projet'!$E$12+1,1))-AVERAGE(OFFSET($H$3,0,0,'Données projet'!$E$12+1,1))</f>
        <v>288.82868507674738</v>
      </c>
      <c r="CE192" s="59">
        <f t="shared" si="148"/>
        <v>283.48738729114024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3.8173963693686565E-2</v>
      </c>
      <c r="CM192" s="21">
        <f>EXP(-LN(2)/2)*CM191+(1-EXP(-LN(2)/2))/(LN(2)/2)*CG192*CJ192*VLOOKUP('Données projet'!$B$12,Paramètres!$A$1:$I$89,3,0)*0.475*44/12</f>
        <v>3.8254045135315661E-24</v>
      </c>
      <c r="CN192" s="22">
        <f t="shared" si="172"/>
        <v>3.8173963693686565E-2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1.7053025658242404E-13</v>
      </c>
      <c r="O193" s="13">
        <f>N193*VLOOKUP('Données projet'!$B$9,Paramètres!$A$1:$I$89,3,0)*VLOOKUP('Données projet'!$B$9,Paramètres!$A$1:$I$89,5,0)</f>
        <v>1.250327841262333E-13</v>
      </c>
      <c r="P193" s="13">
        <f t="shared" si="141"/>
        <v>1.8301318724634299E-12</v>
      </c>
      <c r="Q193" s="20">
        <f t="shared" si="162"/>
        <v>3.405245110226996E-12</v>
      </c>
      <c r="R193" s="59">
        <f t="shared" si="109"/>
        <v>293.33333333333672</v>
      </c>
      <c r="S193" s="59">
        <f ca="1">AVERAGE(OFFSET($R$3,0,0,'Données projet'!$E$9+1,1))-AVERAGE(OFFSET($H$3,0,0,'Données projet'!$E$9+1,1))</f>
        <v>193.60868637458515</v>
      </c>
      <c r="T193" s="59">
        <f t="shared" si="142"/>
        <v>272.97841038165217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-1.7053025658242404E-13</v>
      </c>
      <c r="AJ193" s="13">
        <f>AI193*VLOOKUP('Données projet'!$B$10,Paramètres!$A$1:$I$89,3,0)*VLOOKUP('Données projet'!$B$10,Paramètres!$A$1:$I$89,5,0)</f>
        <v>-1.3567387213697657E-13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238.56893947183841</v>
      </c>
      <c r="AO193" s="59">
        <f t="shared" si="144"/>
        <v>292.57799203101769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-1.0286385077051818E-13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277.20405719540543</v>
      </c>
      <c r="BJ193" s="59">
        <f t="shared" si="146"/>
        <v>231.36959598460686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4.4337866711430253E-14</v>
      </c>
      <c r="CA193" s="13">
        <f t="shared" si="170"/>
        <v>7.3222115536967035E-13</v>
      </c>
      <c r="CB193" s="20">
        <f t="shared" si="171"/>
        <v>1.3525069634579169E-12</v>
      </c>
      <c r="CC193" s="59">
        <f t="shared" si="119"/>
        <v>293.33333333333468</v>
      </c>
      <c r="CD193" s="59">
        <f ca="1">AVERAGE(OFFSET($CC$3,0,0,'Données projet'!$E$12+1,1))-AVERAGE(OFFSET($H$3,0,0,'Données projet'!$E$12+1,1))</f>
        <v>288.82868507674738</v>
      </c>
      <c r="CE193" s="59">
        <f t="shared" si="148"/>
        <v>283.48738729114024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3.7130094649001202E-2</v>
      </c>
      <c r="CM193" s="21">
        <f>EXP(-LN(2)/2)*CM192+(1-EXP(-LN(2)/2))/(LN(2)/2)*CG193*CJ193*VLOOKUP('Données projet'!$B$12,Paramètres!$A$1:$I$89,3,0)*0.475*44/12</f>
        <v>2.7049694722997964E-24</v>
      </c>
      <c r="CN193" s="22">
        <f t="shared" si="172"/>
        <v>3.7130094649001202E-2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1.7053025658242404E-13</v>
      </c>
      <c r="O194" s="13">
        <f>N194*VLOOKUP('Données projet'!$B$9,Paramètres!$A$1:$I$89,3,0)*VLOOKUP('Données projet'!$B$9,Paramètres!$A$1:$I$89,5,0)</f>
        <v>1.250327841262333E-13</v>
      </c>
      <c r="P194" s="13">
        <f t="shared" si="141"/>
        <v>1.8301318724634299E-12</v>
      </c>
      <c r="Q194" s="20">
        <f t="shared" si="162"/>
        <v>3.405245110226996E-12</v>
      </c>
      <c r="R194" s="59">
        <f t="shared" si="109"/>
        <v>293.33333333333672</v>
      </c>
      <c r="S194" s="59">
        <f ca="1">AVERAGE(OFFSET($R$3,0,0,'Données projet'!$E$9+1,1))-AVERAGE(OFFSET($H$3,0,0,'Données projet'!$E$9+1,1))</f>
        <v>193.60868637458515</v>
      </c>
      <c r="T194" s="59">
        <f t="shared" si="142"/>
        <v>272.97841038165217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-1.7053025658242404E-13</v>
      </c>
      <c r="AJ194" s="13">
        <f>AI194*VLOOKUP('Données projet'!$B$10,Paramètres!$A$1:$I$89,3,0)*VLOOKUP('Données projet'!$B$10,Paramètres!$A$1:$I$89,5,0)</f>
        <v>-1.3567387213697657E-13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238.56893947183841</v>
      </c>
      <c r="AO194" s="59">
        <f t="shared" si="144"/>
        <v>292.57799203101769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-1.0286385077051818E-13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277.20405719540543</v>
      </c>
      <c r="BJ194" s="59">
        <f t="shared" si="146"/>
        <v>231.36959598460686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4.4337866711430253E-14</v>
      </c>
      <c r="CA194" s="13">
        <f t="shared" si="170"/>
        <v>7.3222115536967035E-13</v>
      </c>
      <c r="CB194" s="20">
        <f t="shared" si="171"/>
        <v>1.3525069634579169E-12</v>
      </c>
      <c r="CC194" s="59">
        <f t="shared" si="119"/>
        <v>293.33333333333468</v>
      </c>
      <c r="CD194" s="59">
        <f ca="1">AVERAGE(OFFSET($CC$3,0,0,'Données projet'!$E$12+1,1))-AVERAGE(OFFSET($H$3,0,0,'Données projet'!$E$12+1,1))</f>
        <v>288.82868507674738</v>
      </c>
      <c r="CE194" s="59">
        <f t="shared" si="148"/>
        <v>283.48738729114024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3.611477025823745E-2</v>
      </c>
      <c r="CM194" s="21">
        <f>EXP(-LN(2)/2)*CM193+(1-EXP(-LN(2)/2))/(LN(2)/2)*CG194*CJ194*VLOOKUP('Données projet'!$B$12,Paramètres!$A$1:$I$89,3,0)*0.475*44/12</f>
        <v>1.9127022567657831E-24</v>
      </c>
      <c r="CN194" s="22">
        <f t="shared" si="172"/>
        <v>3.611477025823745E-2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1.7053025658242404E-13</v>
      </c>
      <c r="O195" s="13">
        <f>N195*VLOOKUP('Données projet'!$B$9,Paramètres!$A$1:$I$89,3,0)*VLOOKUP('Données projet'!$B$9,Paramètres!$A$1:$I$89,5,0)</f>
        <v>1.250327841262333E-13</v>
      </c>
      <c r="P195" s="13">
        <f t="shared" si="141"/>
        <v>1.8301318724634299E-12</v>
      </c>
      <c r="Q195" s="20">
        <f t="shared" si="162"/>
        <v>3.405245110226996E-12</v>
      </c>
      <c r="R195" s="59">
        <f t="shared" ref="R195:R203" si="191">Q195+(I195+J195)*44/12</f>
        <v>293.33333333333672</v>
      </c>
      <c r="S195" s="59">
        <f ca="1">AVERAGE(OFFSET($R$3,0,0,'Données projet'!$E$9+1,1))-AVERAGE(OFFSET($H$3,0,0,'Données projet'!$E$9+1,1))</f>
        <v>193.60868637458515</v>
      </c>
      <c r="T195" s="59">
        <f t="shared" si="142"/>
        <v>272.97841038165217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-1.7053025658242404E-13</v>
      </c>
      <c r="AJ195" s="13">
        <f>AI195*VLOOKUP('Données projet'!$B$10,Paramètres!$A$1:$I$89,3,0)*VLOOKUP('Données projet'!$B$10,Paramètres!$A$1:$I$89,5,0)</f>
        <v>-1.3567387213697657E-13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238.56893947183841</v>
      </c>
      <c r="AO195" s="59">
        <f t="shared" si="144"/>
        <v>292.57799203101769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-1.0286385077051818E-13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277.20405719540543</v>
      </c>
      <c r="BJ195" s="59">
        <f t="shared" si="146"/>
        <v>231.36959598460686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4.4337866711430253E-14</v>
      </c>
      <c r="CA195" s="13">
        <f t="shared" si="170"/>
        <v>7.3222115536967035E-13</v>
      </c>
      <c r="CB195" s="20">
        <f t="shared" si="171"/>
        <v>1.3525069634579169E-12</v>
      </c>
      <c r="CC195" s="59">
        <f t="shared" si="119"/>
        <v>293.33333333333468</v>
      </c>
      <c r="CD195" s="59">
        <f ca="1">AVERAGE(OFFSET($CC$3,0,0,'Données projet'!$E$12+1,1))-AVERAGE(OFFSET($H$3,0,0,'Données projet'!$E$12+1,1))</f>
        <v>288.82868507674738</v>
      </c>
      <c r="CE195" s="59">
        <f t="shared" si="148"/>
        <v>283.48738729114024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3.5127209966332722E-2</v>
      </c>
      <c r="CM195" s="21">
        <f>EXP(-LN(2)/2)*CM194+(1-EXP(-LN(2)/2))/(LN(2)/2)*CG195*CJ195*VLOOKUP('Données projet'!$B$12,Paramètres!$A$1:$I$89,3,0)*0.475*44/12</f>
        <v>1.3524847361498982E-24</v>
      </c>
      <c r="CN195" s="22">
        <f t="shared" si="172"/>
        <v>3.5127209966332722E-2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1.7053025658242404E-13</v>
      </c>
      <c r="O196" s="13">
        <f>N196*VLOOKUP('Données projet'!$B$9,Paramètres!$A$1:$I$89,3,0)*VLOOKUP('Données projet'!$B$9,Paramètres!$A$1:$I$89,5,0)</f>
        <v>1.250327841262333E-13</v>
      </c>
      <c r="P196" s="13">
        <f t="shared" si="141"/>
        <v>1.8301318724634299E-12</v>
      </c>
      <c r="Q196" s="20">
        <f t="shared" si="162"/>
        <v>3.405245110226996E-12</v>
      </c>
      <c r="R196" s="59">
        <f t="shared" si="191"/>
        <v>293.33333333333672</v>
      </c>
      <c r="S196" s="59">
        <f ca="1">AVERAGE(OFFSET($R$3,0,0,'Données projet'!$E$9+1,1))-AVERAGE(OFFSET($H$3,0,0,'Données projet'!$E$9+1,1))</f>
        <v>193.60868637458515</v>
      </c>
      <c r="T196" s="59">
        <f t="shared" si="142"/>
        <v>272.97841038165217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-1.7053025658242404E-13</v>
      </c>
      <c r="AJ196" s="13">
        <f>AI196*VLOOKUP('Données projet'!$B$10,Paramètres!$A$1:$I$89,3,0)*VLOOKUP('Données projet'!$B$10,Paramètres!$A$1:$I$89,5,0)</f>
        <v>-1.3567387213697657E-13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238.56893947183841</v>
      </c>
      <c r="AO196" s="59">
        <f t="shared" si="144"/>
        <v>292.57799203101769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-1.0286385077051818E-13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277.20405719540543</v>
      </c>
      <c r="BJ196" s="59">
        <f t="shared" si="146"/>
        <v>231.36959598460686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4.4337866711430253E-14</v>
      </c>
      <c r="CA196" s="13">
        <f t="shared" si="170"/>
        <v>7.3222115536967035E-13</v>
      </c>
      <c r="CB196" s="20">
        <f t="shared" si="171"/>
        <v>1.3525069634579169E-12</v>
      </c>
      <c r="CC196" s="59">
        <f t="shared" ref="CC196:CC203" si="195">CB196+(BT196+BU196)*44/12</f>
        <v>293.33333333333468</v>
      </c>
      <c r="CD196" s="59">
        <f ca="1">AVERAGE(OFFSET($CC$3,0,0,'Données projet'!$E$12+1,1))-AVERAGE(OFFSET($H$3,0,0,'Données projet'!$E$12+1,1))</f>
        <v>288.82868507674738</v>
      </c>
      <c r="CE196" s="59">
        <f t="shared" si="148"/>
        <v>283.48738729114024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3.4166654562543669E-2</v>
      </c>
      <c r="CM196" s="21">
        <f>EXP(-LN(2)/2)*CM195+(1-EXP(-LN(2)/2))/(LN(2)/2)*CG196*CJ196*VLOOKUP('Données projet'!$B$12,Paramètres!$A$1:$I$89,3,0)*0.475*44/12</f>
        <v>9.5635112838289154E-25</v>
      </c>
      <c r="CN196" s="22">
        <f t="shared" si="172"/>
        <v>3.4166654562543669E-2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1.7053025658242404E-13</v>
      </c>
      <c r="O197" s="13">
        <f>N197*VLOOKUP('Données projet'!$B$9,Paramètres!$A$1:$I$89,3,0)*VLOOKUP('Données projet'!$B$9,Paramètres!$A$1:$I$89,5,0)</f>
        <v>1.250327841262333E-13</v>
      </c>
      <c r="P197" s="13">
        <f t="shared" ref="P197:P203" si="203">EXP(-1.0587+0.8836*LN(O197)+0.284)</f>
        <v>1.8301318724634299E-12</v>
      </c>
      <c r="Q197" s="20">
        <f t="shared" si="162"/>
        <v>3.405245110226996E-12</v>
      </c>
      <c r="R197" s="59">
        <f t="shared" si="191"/>
        <v>293.33333333333672</v>
      </c>
      <c r="S197" s="59">
        <f ca="1">AVERAGE(OFFSET($R$3,0,0,'Données projet'!$E$9+1,1))-AVERAGE(OFFSET($H$3,0,0,'Données projet'!$E$9+1,1))</f>
        <v>193.60868637458515</v>
      </c>
      <c r="T197" s="59">
        <f t="shared" ref="T197:T203" si="204">$T$3</f>
        <v>272.97841038165217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-1.7053025658242404E-13</v>
      </c>
      <c r="AJ197" s="13">
        <f>AI197*VLOOKUP('Données projet'!$B$10,Paramètres!$A$1:$I$89,3,0)*VLOOKUP('Données projet'!$B$10,Paramètres!$A$1:$I$89,5,0)</f>
        <v>-1.3567387213697657E-13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238.56893947183841</v>
      </c>
      <c r="AO197" s="59">
        <f t="shared" ref="AO197:AO203" si="205">$AO$3</f>
        <v>292.57799203101769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-1.0286385077051818E-13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277.20405719540543</v>
      </c>
      <c r="BJ197" s="59">
        <f t="shared" ref="BJ197:BJ203" si="206">$BJ$3</f>
        <v>231.36959598460686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4.4337866711430253E-14</v>
      </c>
      <c r="CA197" s="13">
        <f t="shared" si="170"/>
        <v>7.3222115536967035E-13</v>
      </c>
      <c r="CB197" s="20">
        <f t="shared" si="171"/>
        <v>1.3525069634579169E-12</v>
      </c>
      <c r="CC197" s="59">
        <f t="shared" si="195"/>
        <v>293.33333333333468</v>
      </c>
      <c r="CD197" s="59">
        <f ca="1">AVERAGE(OFFSET($CC$3,0,0,'Données projet'!$E$12+1,1))-AVERAGE(OFFSET($H$3,0,0,'Données projet'!$E$12+1,1))</f>
        <v>288.82868507674738</v>
      </c>
      <c r="CE197" s="59">
        <f t="shared" ref="CE197:CE203" si="207">$CE$3</f>
        <v>283.48738729114024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3.3232365596784635E-2</v>
      </c>
      <c r="CM197" s="21">
        <f>EXP(-LN(2)/2)*CM196+(1-EXP(-LN(2)/2))/(LN(2)/2)*CG197*CJ197*VLOOKUP('Données projet'!$B$12,Paramètres!$A$1:$I$89,3,0)*0.475*44/12</f>
        <v>6.7624236807494911E-25</v>
      </c>
      <c r="CN197" s="22">
        <f t="shared" si="172"/>
        <v>3.3232365596784635E-2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1.7053025658242404E-13</v>
      </c>
      <c r="O198" s="13">
        <f>N198*VLOOKUP('Données projet'!$B$9,Paramètres!$A$1:$I$89,3,0)*VLOOKUP('Données projet'!$B$9,Paramètres!$A$1:$I$89,5,0)</f>
        <v>1.250327841262333E-13</v>
      </c>
      <c r="P198" s="13">
        <f t="shared" si="203"/>
        <v>1.8301318724634299E-12</v>
      </c>
      <c r="Q198" s="20">
        <f t="shared" si="162"/>
        <v>3.405245110226996E-12</v>
      </c>
      <c r="R198" s="59">
        <f t="shared" si="191"/>
        <v>293.33333333333672</v>
      </c>
      <c r="S198" s="59">
        <f ca="1">AVERAGE(OFFSET($R$3,0,0,'Données projet'!$E$9+1,1))-AVERAGE(OFFSET($H$3,0,0,'Données projet'!$E$9+1,1))</f>
        <v>193.60868637458515</v>
      </c>
      <c r="T198" s="59">
        <f t="shared" si="204"/>
        <v>272.97841038165217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-1.7053025658242404E-13</v>
      </c>
      <c r="AJ198" s="13">
        <f>AI198*VLOOKUP('Données projet'!$B$10,Paramètres!$A$1:$I$89,3,0)*VLOOKUP('Données projet'!$B$10,Paramètres!$A$1:$I$89,5,0)</f>
        <v>-1.3567387213697657E-13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238.56893947183841</v>
      </c>
      <c r="AO198" s="59">
        <f t="shared" si="205"/>
        <v>292.57799203101769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-1.0286385077051818E-13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277.20405719540543</v>
      </c>
      <c r="BJ198" s="59">
        <f t="shared" si="206"/>
        <v>231.36959598460686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4.4337866711430253E-14</v>
      </c>
      <c r="CA198" s="13">
        <f t="shared" si="170"/>
        <v>7.3222115536967035E-13</v>
      </c>
      <c r="CB198" s="20">
        <f t="shared" si="171"/>
        <v>1.3525069634579169E-12</v>
      </c>
      <c r="CC198" s="59">
        <f t="shared" si="195"/>
        <v>293.33333333333468</v>
      </c>
      <c r="CD198" s="59">
        <f ca="1">AVERAGE(OFFSET($CC$3,0,0,'Données projet'!$E$12+1,1))-AVERAGE(OFFSET($H$3,0,0,'Données projet'!$E$12+1,1))</f>
        <v>288.82868507674738</v>
      </c>
      <c r="CE198" s="59">
        <f t="shared" si="207"/>
        <v>283.48738729114024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3.2323624811926403E-2</v>
      </c>
      <c r="CM198" s="21">
        <f>EXP(-LN(2)/2)*CM197+(1-EXP(-LN(2)/2))/(LN(2)/2)*CG198*CJ198*VLOOKUP('Données projet'!$B$12,Paramètres!$A$1:$I$89,3,0)*0.475*44/12</f>
        <v>4.7817556419144577E-25</v>
      </c>
      <c r="CN198" s="22">
        <f t="shared" si="172"/>
        <v>3.2323624811926403E-2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1.7053025658242404E-13</v>
      </c>
      <c r="O199" s="13">
        <f>N199*VLOOKUP('Données projet'!$B$9,Paramètres!$A$1:$I$89,3,0)*VLOOKUP('Données projet'!$B$9,Paramètres!$A$1:$I$89,5,0)</f>
        <v>1.250327841262333E-13</v>
      </c>
      <c r="P199" s="13">
        <f t="shared" si="203"/>
        <v>1.8301318724634299E-12</v>
      </c>
      <c r="Q199" s="20">
        <f t="shared" si="162"/>
        <v>3.405245110226996E-12</v>
      </c>
      <c r="R199" s="59">
        <f t="shared" si="191"/>
        <v>293.33333333333672</v>
      </c>
      <c r="S199" s="59">
        <f ca="1">AVERAGE(OFFSET($R$3,0,0,'Données projet'!$E$9+1,1))-AVERAGE(OFFSET($H$3,0,0,'Données projet'!$E$9+1,1))</f>
        <v>193.60868637458515</v>
      </c>
      <c r="T199" s="59">
        <f t="shared" si="204"/>
        <v>272.97841038165217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-1.7053025658242404E-13</v>
      </c>
      <c r="AJ199" s="13">
        <f>AI199*VLOOKUP('Données projet'!$B$10,Paramètres!$A$1:$I$89,3,0)*VLOOKUP('Données projet'!$B$10,Paramètres!$A$1:$I$89,5,0)</f>
        <v>-1.3567387213697657E-13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238.56893947183841</v>
      </c>
      <c r="AO199" s="59">
        <f t="shared" si="205"/>
        <v>292.57799203101769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-1.0286385077051818E-13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277.20405719540543</v>
      </c>
      <c r="BJ199" s="59">
        <f t="shared" si="206"/>
        <v>231.36959598460686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4.4337866711430253E-14</v>
      </c>
      <c r="CA199" s="13">
        <f t="shared" si="170"/>
        <v>7.3222115536967035E-13</v>
      </c>
      <c r="CB199" s="20">
        <f t="shared" si="171"/>
        <v>1.3525069634579169E-12</v>
      </c>
      <c r="CC199" s="59">
        <f t="shared" si="195"/>
        <v>293.33333333333468</v>
      </c>
      <c r="CD199" s="59">
        <f ca="1">AVERAGE(OFFSET($CC$3,0,0,'Données projet'!$E$12+1,1))-AVERAGE(OFFSET($H$3,0,0,'Données projet'!$E$12+1,1))</f>
        <v>288.82868507674738</v>
      </c>
      <c r="CE199" s="59">
        <f t="shared" si="207"/>
        <v>283.48738729114024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3.1439733591618724E-2</v>
      </c>
      <c r="CM199" s="21">
        <f>EXP(-LN(2)/2)*CM198+(1-EXP(-LN(2)/2))/(LN(2)/2)*CG199*CJ199*VLOOKUP('Données projet'!$B$12,Paramètres!$A$1:$I$89,3,0)*0.475*44/12</f>
        <v>3.3812118403747456E-25</v>
      </c>
      <c r="CN199" s="22">
        <f t="shared" si="172"/>
        <v>3.1439733591618724E-2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1.7053025658242404E-13</v>
      </c>
      <c r="O200" s="13">
        <f>N200*VLOOKUP('Données projet'!$B$9,Paramètres!$A$1:$I$89,3,0)*VLOOKUP('Données projet'!$B$9,Paramètres!$A$1:$I$89,5,0)</f>
        <v>1.250327841262333E-13</v>
      </c>
      <c r="P200" s="13">
        <f t="shared" si="203"/>
        <v>1.8301318724634299E-12</v>
      </c>
      <c r="Q200" s="20">
        <f t="shared" si="162"/>
        <v>3.405245110226996E-12</v>
      </c>
      <c r="R200" s="59">
        <f t="shared" si="191"/>
        <v>293.33333333333672</v>
      </c>
      <c r="S200" s="59">
        <f ca="1">AVERAGE(OFFSET($R$3,0,0,'Données projet'!$E$9+1,1))-AVERAGE(OFFSET($H$3,0,0,'Données projet'!$E$9+1,1))</f>
        <v>193.60868637458515</v>
      </c>
      <c r="T200" s="59">
        <f t="shared" si="204"/>
        <v>272.97841038165217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-1.7053025658242404E-13</v>
      </c>
      <c r="AJ200" s="13">
        <f>AI200*VLOOKUP('Données projet'!$B$10,Paramètres!$A$1:$I$89,3,0)*VLOOKUP('Données projet'!$B$10,Paramètres!$A$1:$I$89,5,0)</f>
        <v>-1.3567387213697657E-13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238.56893947183841</v>
      </c>
      <c r="AO200" s="59">
        <f t="shared" si="205"/>
        <v>292.57799203101769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-1.0286385077051818E-13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277.20405719540543</v>
      </c>
      <c r="BJ200" s="59">
        <f t="shared" si="206"/>
        <v>231.36959598460686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4.4337866711430253E-14</v>
      </c>
      <c r="CA200" s="13">
        <f t="shared" si="170"/>
        <v>7.3222115536967035E-13</v>
      </c>
      <c r="CB200" s="20">
        <f t="shared" si="171"/>
        <v>1.3525069634579169E-12</v>
      </c>
      <c r="CC200" s="59">
        <f t="shared" si="195"/>
        <v>293.33333333333468</v>
      </c>
      <c r="CD200" s="59">
        <f ca="1">AVERAGE(OFFSET($CC$3,0,0,'Données projet'!$E$12+1,1))-AVERAGE(OFFSET($H$3,0,0,'Données projet'!$E$12+1,1))</f>
        <v>288.82868507674738</v>
      </c>
      <c r="CE200" s="59">
        <f t="shared" si="207"/>
        <v>283.48738729114024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3.0580012423212177E-2</v>
      </c>
      <c r="CM200" s="21">
        <f>EXP(-LN(2)/2)*CM199+(1-EXP(-LN(2)/2))/(LN(2)/2)*CG200*CJ200*VLOOKUP('Données projet'!$B$12,Paramètres!$A$1:$I$89,3,0)*0.475*44/12</f>
        <v>2.3908778209572288E-25</v>
      </c>
      <c r="CN200" s="22">
        <f t="shared" si="172"/>
        <v>3.0580012423212177E-2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1.7053025658242404E-13</v>
      </c>
      <c r="O201" s="13">
        <f>N201*VLOOKUP('Données projet'!$B$9,Paramètres!$A$1:$I$89,3,0)*VLOOKUP('Données projet'!$B$9,Paramètres!$A$1:$I$89,5,0)</f>
        <v>1.250327841262333E-13</v>
      </c>
      <c r="P201" s="13">
        <f t="shared" si="203"/>
        <v>1.8301318724634299E-12</v>
      </c>
      <c r="Q201" s="20">
        <f t="shared" si="162"/>
        <v>3.405245110226996E-12</v>
      </c>
      <c r="R201" s="59">
        <f t="shared" si="191"/>
        <v>293.33333333333672</v>
      </c>
      <c r="S201" s="59">
        <f ca="1">AVERAGE(OFFSET($R$3,0,0,'Données projet'!$E$9+1,1))-AVERAGE(OFFSET($H$3,0,0,'Données projet'!$E$9+1,1))</f>
        <v>193.60868637458515</v>
      </c>
      <c r="T201" s="59">
        <f t="shared" si="204"/>
        <v>272.97841038165217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-1.7053025658242404E-13</v>
      </c>
      <c r="AJ201" s="13">
        <f>AI201*VLOOKUP('Données projet'!$B$10,Paramètres!$A$1:$I$89,3,0)*VLOOKUP('Données projet'!$B$10,Paramètres!$A$1:$I$89,5,0)</f>
        <v>-1.3567387213697657E-13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238.56893947183841</v>
      </c>
      <c r="AO201" s="59">
        <f t="shared" si="205"/>
        <v>292.57799203101769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-1.0286385077051818E-13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277.20405719540543</v>
      </c>
      <c r="BJ201" s="59">
        <f t="shared" si="206"/>
        <v>231.36959598460686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4.4337866711430253E-14</v>
      </c>
      <c r="CA201" s="13">
        <f t="shared" si="170"/>
        <v>7.3222115536967035E-13</v>
      </c>
      <c r="CB201" s="20">
        <f t="shared" si="171"/>
        <v>1.3525069634579169E-12</v>
      </c>
      <c r="CC201" s="59">
        <f t="shared" si="195"/>
        <v>293.33333333333468</v>
      </c>
      <c r="CD201" s="59">
        <f ca="1">AVERAGE(OFFSET($CC$3,0,0,'Données projet'!$E$12+1,1))-AVERAGE(OFFSET($H$3,0,0,'Données projet'!$E$12+1,1))</f>
        <v>288.82868507674738</v>
      </c>
      <c r="CE201" s="59">
        <f t="shared" si="207"/>
        <v>283.48738729114024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2.9743800375366478E-2</v>
      </c>
      <c r="CM201" s="21">
        <f>EXP(-LN(2)/2)*CM200+(1-EXP(-LN(2)/2))/(LN(2)/2)*CG201*CJ201*VLOOKUP('Données projet'!$B$12,Paramètres!$A$1:$I$89,3,0)*0.475*44/12</f>
        <v>1.6906059201873728E-25</v>
      </c>
      <c r="CN201" s="22">
        <f t="shared" si="172"/>
        <v>2.9743800375366478E-2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1.7053025658242404E-13</v>
      </c>
      <c r="O202" s="13">
        <f>N202*VLOOKUP('Données projet'!$B$9,Paramètres!$A$1:$I$89,3,0)*VLOOKUP('Données projet'!$B$9,Paramètres!$A$1:$I$89,5,0)</f>
        <v>1.250327841262333E-13</v>
      </c>
      <c r="P202" s="13">
        <f t="shared" si="203"/>
        <v>1.8301318724634299E-12</v>
      </c>
      <c r="Q202" s="20">
        <f t="shared" si="162"/>
        <v>3.405245110226996E-12</v>
      </c>
      <c r="R202" s="59">
        <f t="shared" si="191"/>
        <v>293.33333333333672</v>
      </c>
      <c r="S202" s="59">
        <f ca="1">AVERAGE(OFFSET($R$3,0,0,'Données projet'!$E$9+1,1))-AVERAGE(OFFSET($H$3,0,0,'Données projet'!$E$9+1,1))</f>
        <v>193.60868637458515</v>
      </c>
      <c r="T202" s="59">
        <f t="shared" si="204"/>
        <v>272.97841038165217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-1.7053025658242404E-13</v>
      </c>
      <c r="AJ202" s="13">
        <f>AI202*VLOOKUP('Données projet'!$B$10,Paramètres!$A$1:$I$89,3,0)*VLOOKUP('Données projet'!$B$10,Paramètres!$A$1:$I$89,5,0)</f>
        <v>-1.3567387213697657E-13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238.56893947183841</v>
      </c>
      <c r="AO202" s="59">
        <f t="shared" si="205"/>
        <v>292.57799203101769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-1.0286385077051818E-13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277.20405719540543</v>
      </c>
      <c r="BJ202" s="59">
        <f t="shared" si="206"/>
        <v>231.36959598460686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4.4337866711430253E-14</v>
      </c>
      <c r="CA202" s="13">
        <f t="shared" si="170"/>
        <v>7.3222115536967035E-13</v>
      </c>
      <c r="CB202" s="20">
        <f t="shared" si="171"/>
        <v>1.3525069634579169E-12</v>
      </c>
      <c r="CC202" s="59">
        <f t="shared" si="195"/>
        <v>293.33333333333468</v>
      </c>
      <c r="CD202" s="59">
        <f ca="1">AVERAGE(OFFSET($CC$3,0,0,'Données projet'!$E$12+1,1))-AVERAGE(OFFSET($H$3,0,0,'Données projet'!$E$12+1,1))</f>
        <v>288.82868507674738</v>
      </c>
      <c r="CE202" s="59">
        <f t="shared" si="207"/>
        <v>283.48738729114024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2.8930454589943602E-2</v>
      </c>
      <c r="CM202" s="21">
        <f>EXP(-LN(2)/2)*CM201+(1-EXP(-LN(2)/2))/(LN(2)/2)*CG202*CJ202*VLOOKUP('Données projet'!$B$12,Paramètres!$A$1:$I$89,3,0)*0.475*44/12</f>
        <v>1.1954389104786144E-25</v>
      </c>
      <c r="CN202" s="22">
        <f t="shared" si="172"/>
        <v>2.8930454589943602E-2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1.7053025658242404E-13</v>
      </c>
      <c r="O203" s="13">
        <f>N203*VLOOKUP('Données projet'!$B$9,Paramètres!$A$1:$I$89,3,0)*VLOOKUP('Données projet'!$B$9,Paramètres!$A$1:$I$89,5,0)</f>
        <v>1.250327841262333E-13</v>
      </c>
      <c r="P203" s="13">
        <f t="shared" si="203"/>
        <v>1.8301318724634299E-12</v>
      </c>
      <c r="Q203" s="20">
        <f t="shared" si="162"/>
        <v>3.405245110226996E-12</v>
      </c>
      <c r="R203" s="59">
        <f t="shared" si="191"/>
        <v>293.33333333333672</v>
      </c>
      <c r="S203" s="59">
        <f ca="1">AVERAGE(OFFSET($R$3,0,0,'Données projet'!$E$9+1,1))-AVERAGE(OFFSET($H$3,0,0,'Données projet'!$E$9+1,1))</f>
        <v>193.60868637458515</v>
      </c>
      <c r="T203" s="59">
        <f t="shared" si="204"/>
        <v>272.97841038165217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-1.7053025658242404E-13</v>
      </c>
      <c r="AJ203" s="13">
        <f>AI203*VLOOKUP('Données projet'!$B$10,Paramètres!$A$1:$I$89,3,0)*VLOOKUP('Données projet'!$B$10,Paramètres!$A$1:$I$89,5,0)</f>
        <v>-1.3567387213697657E-13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238.56893947183841</v>
      </c>
      <c r="AO203" s="59">
        <f t="shared" si="205"/>
        <v>292.57799203101769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-1.0286385077051818E-13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277.20405719540543</v>
      </c>
      <c r="BJ203" s="59">
        <f t="shared" si="206"/>
        <v>231.36959598460686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4.4337866711430253E-14</v>
      </c>
      <c r="CA203" s="13">
        <f t="shared" si="170"/>
        <v>7.3222115536967035E-13</v>
      </c>
      <c r="CB203" s="20">
        <f t="shared" si="171"/>
        <v>1.3525069634579169E-12</v>
      </c>
      <c r="CC203" s="59">
        <f t="shared" si="195"/>
        <v>293.33333333333468</v>
      </c>
      <c r="CD203" s="59">
        <f ca="1">AVERAGE(OFFSET($CC$3,0,0,'Données projet'!$E$12+1,1))-AVERAGE(OFFSET($H$3,0,0,'Données projet'!$E$12+1,1))</f>
        <v>288.82868507674738</v>
      </c>
      <c r="CE203" s="59">
        <f t="shared" si="207"/>
        <v>283.48738729114024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2.8139349787795108E-2</v>
      </c>
      <c r="CM203" s="21">
        <f>EXP(-LN(2)/2)*CM202+(1-EXP(-LN(2)/2))/(LN(2)/2)*CG203*CJ203*VLOOKUP('Données projet'!$B$12,Paramètres!$A$1:$I$89,3,0)*0.475*44/12</f>
        <v>8.4530296009368639E-26</v>
      </c>
      <c r="CN203" s="22">
        <f t="shared" si="172"/>
        <v>2.8139349787795108E-2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1.2229519710813024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1.2721747796233518</v>
      </c>
      <c r="BA205" s="82">
        <f>EXP(LN('Données projet'!B88)/'Données projet'!A88)</f>
        <v>1.2054868146447177</v>
      </c>
      <c r="BV205" s="82">
        <f>EXP(LN('Données projet'!B114)/'Données projet'!A114)</f>
        <v>1.2788040393997409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90" zoomScaleNormal="90" workbookViewId="0">
      <selection activeCell="O7" sqref="O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Châtaignier</v>
      </c>
      <c r="B6" s="146">
        <f>'Données projet'!D9</f>
        <v>0.75</v>
      </c>
      <c r="C6" s="147">
        <f ca="1">IF(OR('Données projet'!B9="",'Données projet'!C9="",'Données projet'!C9=0%),0,Calculateur!S3)</f>
        <v>193.60868637458515</v>
      </c>
      <c r="D6" s="147">
        <f>IF(OR('Données projet'!B9="",'Données projet'!C9="",'Données projet'!C9=0%),0,Calculateur!T3)</f>
        <v>272.97841038165217</v>
      </c>
      <c r="E6" s="147">
        <f ca="1">MIN(C6,D6)</f>
        <v>193.60868637458515</v>
      </c>
      <c r="F6" s="147">
        <f ca="1">E6*B6</f>
        <v>145.20651478093885</v>
      </c>
      <c r="G6" s="147">
        <f ca="1">F6*(100%-'Données projet'!$C$24)*(100%-'Données projet'!$C$25)*(100%-'Données projet'!$C$26)*(100%-'Données projet'!$C$27)</f>
        <v>104.54869064227597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11.4375</v>
      </c>
      <c r="K6" s="151">
        <f>J6*(100%-'Données projet'!$C$24)*(100%-'Données projet'!$C$25)*(100%-'Données projet'!$C$26)*(100%-'Données projet'!$C$27)</f>
        <v>8.2350000000000012</v>
      </c>
      <c r="L6" s="152">
        <f ca="1">G6+I6+K6</f>
        <v>112.78369064227597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Erable sycomore</v>
      </c>
      <c r="B7" s="154">
        <f>'Données projet'!D10</f>
        <v>0.75</v>
      </c>
      <c r="C7" s="147">
        <f ca="1">IF(OR('Données projet'!B10="",'Données projet'!C10="",'Données projet'!C10=0%),0,Calculateur!AN3)</f>
        <v>238.56893947183841</v>
      </c>
      <c r="D7" s="147">
        <f>IF(OR('Données projet'!B10="",'Données projet'!C10="",'Données projet'!C10=0%),0,Calculateur!AO3)</f>
        <v>292.57799203101769</v>
      </c>
      <c r="E7" s="147">
        <f t="shared" ref="E7:E15" ca="1" si="0">MIN(C7,D7)</f>
        <v>238.56893947183841</v>
      </c>
      <c r="F7" s="147">
        <f t="shared" ref="F7:F15" ca="1" si="1">E7*B7</f>
        <v>178.92670460387882</v>
      </c>
      <c r="G7" s="147">
        <f ca="1">F7*(100%-'Données projet'!$C$24)*(100%-'Données projet'!$C$25)*(100%-'Données projet'!$C$26)*(100%-'Données projet'!$C$27)</f>
        <v>128.82722731479276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18.5625</v>
      </c>
      <c r="K7" s="151">
        <f>J7*(100%-'Données projet'!$C$24)*(100%-'Données projet'!$C$25)*(100%-'Données projet'!$C$26)*(100%-'Données projet'!$C$27)</f>
        <v>13.365000000000002</v>
      </c>
      <c r="L7" s="152">
        <f t="shared" ref="L7:L15" ca="1" si="2">G7+I7+K7</f>
        <v>142.19222731479277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sessile</v>
      </c>
      <c r="B8" s="154">
        <f>'Données projet'!D11</f>
        <v>0.75</v>
      </c>
      <c r="C8" s="147">
        <f ca="1">IF(OR('Données projet'!B11="",'Données projet'!C11="",'Données projet'!C11=0%),0,Calculateur!BI3)</f>
        <v>277.20405719540543</v>
      </c>
      <c r="D8" s="147">
        <f>IF(OR('Données projet'!B11="",'Données projet'!C11="",'Données projet'!C11=0%),0,Calculateur!BJ3)</f>
        <v>231.36959598460686</v>
      </c>
      <c r="E8" s="147">
        <f t="shared" ca="1" si="0"/>
        <v>231.36959598460686</v>
      </c>
      <c r="F8" s="147">
        <f t="shared" ca="1" si="1"/>
        <v>173.52719698845516</v>
      </c>
      <c r="G8" s="147">
        <f ca="1">F8*(100%-'Données projet'!$C$24)*(100%-'Données projet'!$C$25)*(100%-'Données projet'!$C$26)*(100%-'Données projet'!$C$27)</f>
        <v>124.93958183168772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5.4375</v>
      </c>
      <c r="K8" s="151">
        <f>J8*(100%-'Données projet'!$C$24)*(100%-'Données projet'!$C$25)*(100%-'Données projet'!$C$26)*(100%-'Données projet'!$C$27)</f>
        <v>3.9150000000000005</v>
      </c>
      <c r="L8" s="152">
        <f t="shared" ca="1" si="2"/>
        <v>128.85458183168771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Merisier</v>
      </c>
      <c r="B9" s="154">
        <f>'Données projet'!D12</f>
        <v>0.25</v>
      </c>
      <c r="C9" s="147">
        <f ca="1">IF(OR('Données projet'!B12="",'Données projet'!C12="",'Données projet'!C12=0%),0,Calculateur!CD3)</f>
        <v>288.82868507674738</v>
      </c>
      <c r="D9" s="147">
        <f>IF(OR('Données projet'!B12="",'Données projet'!C12="",'Données projet'!C12=0%),0,Calculateur!CE3)</f>
        <v>283.48738729114024</v>
      </c>
      <c r="E9" s="147">
        <f t="shared" ca="1" si="0"/>
        <v>283.48738729114024</v>
      </c>
      <c r="F9" s="147">
        <f t="shared" ca="1" si="1"/>
        <v>70.871846822785059</v>
      </c>
      <c r="G9" s="147">
        <f ca="1">F9*(100%-'Données projet'!$C$24)*(100%-'Données projet'!$C$25)*(100%-'Données projet'!$C$26)*(100%-'Données projet'!$C$27)</f>
        <v>51.027729712405247</v>
      </c>
      <c r="H9" s="155">
        <f>IF(OR('Données projet'!B12="",'Données projet'!C12="",'Données projet'!C12=0%),0,AVERAGE(Calculateur!$CN$3:$CN$33)*B9)</f>
        <v>1.0125909651188501</v>
      </c>
      <c r="I9" s="149">
        <f>H9*(100%-'Données projet'!$C$24)*(100%-'Données projet'!$C$25)*(100%-'Données projet'!$C$26)*(100%-'Données projet'!$C$27)</f>
        <v>0.72906549488557215</v>
      </c>
      <c r="J9" s="150">
        <f>IF(OR('Données projet'!B12="",'Données projet'!C12="",'Données projet'!C12=0%),0,SUM(Calculateur!$CG$3:$CG$33)*VLOOKUP('Données projet'!$B$12,Paramètres!$A$1:$I$89,9,0)*B9)</f>
        <v>3.4375</v>
      </c>
      <c r="K9" s="151">
        <f>J9*(100%-'Données projet'!$C$24)*(100%-'Données projet'!$C$25)*(100%-'Données projet'!$C$26)*(100%-'Données projet'!$C$27)</f>
        <v>2.4750000000000001</v>
      </c>
      <c r="L9" s="152">
        <f t="shared" ca="1" si="2"/>
        <v>54.231795207290823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568.5322631960579</v>
      </c>
      <c r="G16" s="166">
        <f t="shared" ca="1" si="3"/>
        <v>409.34322950116172</v>
      </c>
      <c r="H16" s="167">
        <f t="shared" si="3"/>
        <v>1.0125909651188501</v>
      </c>
      <c r="I16" s="167">
        <f t="shared" si="3"/>
        <v>0.72906549488557215</v>
      </c>
      <c r="J16" s="168">
        <f t="shared" si="3"/>
        <v>38.875</v>
      </c>
      <c r="K16" s="168">
        <f t="shared" si="3"/>
        <v>27.990000000000002</v>
      </c>
      <c r="L16" s="169">
        <f t="shared" ca="1" si="3"/>
        <v>438.06229499604729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Châtaignier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80" zoomScaleNormal="80" workbookViewId="0">
      <selection activeCell="F17" sqref="F1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Châtaignier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-2762.0222222222224</v>
      </c>
      <c r="U10" s="178">
        <f>'Données projet'!D9</f>
        <v>0.75</v>
      </c>
      <c r="V10" s="177">
        <f>U10*T10</f>
        <v>-2071.5166666666669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sycomore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-2176.4</v>
      </c>
      <c r="U11" s="178">
        <f>'Données projet'!D10</f>
        <v>0.75</v>
      </c>
      <c r="V11" s="177">
        <f t="shared" ref="V11" si="0">U11*T11</f>
        <v>-1632.3000000000002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-2622.5</v>
      </c>
      <c r="U12" s="178">
        <f>'Données projet'!D11</f>
        <v>0.75</v>
      </c>
      <c r="V12" s="177">
        <f t="shared" ref="V12:V19" si="1">U12*T12</f>
        <v>-1966.875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Merisier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-3094.1</v>
      </c>
      <c r="U13" s="178">
        <f>'Données projet'!D12</f>
        <v>0.25</v>
      </c>
      <c r="V13" s="177">
        <f t="shared" si="1"/>
        <v>-773.52499999999998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Châtaignier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((1.39*525)+(1.53*649)+(0.65*1174))/0.9</f>
        <v>2762.0222222222224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-6444.2166666666672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25</v>
      </c>
      <c r="B24" s="181">
        <f>'Données projet'!D37</f>
        <v>26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35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-6444.2166666666672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35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35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45</v>
      </c>
      <c r="B28" s="181">
        <f>'Données projet'!D41</f>
        <v>35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274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Erable sycomore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((0.93*525)+(1.09*649)+(0.65*1174))/0.9</f>
        <v>2176.4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15</v>
      </c>
      <c r="B54" s="181">
        <f>'Données projet'!D62</f>
        <v>15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28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25</v>
      </c>
      <c r="B56" s="181">
        <f>'Données projet'!D64</f>
        <v>28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30</v>
      </c>
      <c r="B57" s="181">
        <f>'Données projet'!D65</f>
        <v>28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35</v>
      </c>
      <c r="B58" s="181">
        <f>'Données projet'!D66</f>
        <v>28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40</v>
      </c>
      <c r="B59" s="181">
        <f>'Données projet'!D67</f>
        <v>28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45</v>
      </c>
      <c r="B60" s="181">
        <f>'Données projet'!D68</f>
        <v>22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50</v>
      </c>
      <c r="B61" s="181">
        <f>'Données projet'!D69</f>
        <v>17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55</v>
      </c>
      <c r="B62" s="181">
        <f>'Données projet'!D70</f>
        <v>13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60</v>
      </c>
      <c r="B63" s="181">
        <f>'Données projet'!D71</f>
        <v>245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((1.4*475)+(1.7*590)+(0.65*1065))/0.9</f>
        <v>2622.5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str">
        <f>IF(O83+1&lt;=MIN('Données projet'!$E$9:$E$18),O83+1,"STOP")</f>
        <v>STOP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8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21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35</v>
      </c>
      <c r="B88" s="181">
        <f>'Données projet'!D91</f>
        <v>21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21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45</v>
      </c>
      <c r="B90" s="181">
        <f>'Données projet'!D93</f>
        <v>21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21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55</v>
      </c>
      <c r="B92" s="181">
        <f>'Données projet'!D95</f>
        <v>21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60</v>
      </c>
      <c r="B93" s="181">
        <f>'Données projet'!D96</f>
        <v>21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65</v>
      </c>
      <c r="B94" s="181">
        <f>'Données projet'!D97</f>
        <v>21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70</v>
      </c>
      <c r="B95" s="181">
        <f>'Données projet'!D98</f>
        <v>21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75</v>
      </c>
      <c r="B96" s="181">
        <f>'Données projet'!D99</f>
        <v>21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80</v>
      </c>
      <c r="B97" s="181">
        <f>'Données projet'!D100</f>
        <v>261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Merisier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((1.52*237)+(1.78*295)+(0.65*542))/0.4</f>
        <v>3094.1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15</v>
      </c>
      <c r="B116" s="181">
        <f>'Données projet'!D114</f>
        <v>3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25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25</v>
      </c>
      <c r="B118" s="181">
        <f>'Données projet'!D116</f>
        <v>27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31</v>
      </c>
      <c r="B119" s="181">
        <f>'Données projet'!D117</f>
        <v>36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37</v>
      </c>
      <c r="B120" s="181">
        <f>'Données projet'!D118</f>
        <v>36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44</v>
      </c>
      <c r="B121" s="181">
        <f>'Données projet'!D119</f>
        <v>43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52</v>
      </c>
      <c r="B122" s="181">
        <f>'Données projet'!D120</f>
        <v>48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60</v>
      </c>
      <c r="B123" s="181">
        <f>'Données projet'!D121</f>
        <v>47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69</v>
      </c>
      <c r="B124" s="181">
        <f>'Données projet'!D122</f>
        <v>328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Mme TRAMON Marie</cp:lastModifiedBy>
  <dcterms:created xsi:type="dcterms:W3CDTF">2021-02-01T08:22:39Z</dcterms:created>
  <dcterms:modified xsi:type="dcterms:W3CDTF">2024-03-28T12:10:27Z</dcterms:modified>
</cp:coreProperties>
</file>