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FDI_FICHIERS\Zensolutions$\doc\24\087\Z009BKC3\"/>
    </mc:Choice>
  </mc:AlternateContent>
  <xr:revisionPtr revIDLastSave="0" documentId="13_ncr:1_{7E595BB9-C4B2-4B6F-9A73-484EEA06BAD5}" xr6:coauthVersionLast="47" xr6:coauthVersionMax="47" xr10:uidLastSave="{00000000-0000-0000-0000-000000000000}"/>
  <bookViews>
    <workbookView xWindow="-120" yWindow="-120" windowWidth="20790" windowHeight="999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3" i="6" l="1"/>
  <c r="E141" i="6"/>
  <c r="E172" i="6"/>
  <c r="E11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GL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A7" i="2"/>
  <c r="EB7" i="2"/>
  <c r="HI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A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HH22" i="2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EB33" i="2"/>
  <c r="HG33" i="2"/>
  <c r="EV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EA38" i="2"/>
  <c r="HI38" i="2"/>
  <c r="FS38" i="2"/>
  <c r="EW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EC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HI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W60" i="2"/>
  <c r="HI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C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G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A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X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FR146" i="2"/>
  <c r="EA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Y154" i="2"/>
  <c r="ED154" i="2"/>
  <c r="DI154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Y155" i="2"/>
  <c r="EX156" i="2"/>
  <c r="ED155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C158" i="2"/>
  <c r="ED157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HG160" i="2"/>
  <c r="HH160" i="2"/>
  <c r="EC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X161" i="2"/>
  <c r="ED160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D161" i="2"/>
  <c r="EY161" i="2"/>
  <c r="EW162" i="2"/>
  <c r="DI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ED163" i="2"/>
  <c r="DI163" i="2"/>
  <c r="DH164" i="2"/>
  <c r="EV164" i="2"/>
  <c r="EA164" i="2"/>
  <c r="EX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DG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C168" i="2"/>
  <c r="EB168" i="2"/>
  <c r="HI168" i="2"/>
  <c r="EV168" i="2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G172" i="2"/>
  <c r="EV172" i="2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D174" i="2"/>
  <c r="E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W178" i="2"/>
  <c r="HG178" i="2"/>
  <c r="EB178" i="2"/>
  <c r="EA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EV179" i="2"/>
  <c r="DF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B185" i="2"/>
  <c r="ED184" i="2"/>
  <c r="EA185" i="2"/>
  <c r="HH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ED185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EY189" i="2"/>
  <c r="ED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D190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EA192" i="2"/>
  <c r="HH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D192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A194" i="2"/>
  <c r="ED193" i="2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B195" i="2"/>
  <c r="ED194" i="2"/>
  <c r="DH195" i="2"/>
  <c r="EY194" i="2"/>
  <c r="AA195" i="2"/>
  <c r="EA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Y196" i="2"/>
  <c r="EC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V198" i="2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A199" i="2"/>
  <c r="HH199" i="2"/>
  <c r="EV199" i="2"/>
  <c r="FS199" i="2"/>
  <c r="EW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A201" i="2"/>
  <c r="EB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Y201" i="2"/>
  <c r="EX202" i="2"/>
  <c r="EW202" i="2"/>
  <c r="ED201" i="2"/>
  <c r="HH202" i="2"/>
  <c r="HG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151" i="2" a="1"/>
  <c r="AH151" i="2" s="1"/>
  <c r="AH90" i="2" a="1"/>
  <c r="AH90" i="2" s="1"/>
  <c r="AH19" i="2" a="1"/>
  <c r="AH19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DN16" i="2" a="1"/>
  <c r="DN16" i="2" s="1"/>
  <c r="DN6" i="2" a="1"/>
  <c r="DN6" i="2" s="1"/>
  <c r="DO6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HJ202" i="2"/>
  <c r="AX200" i="2"/>
  <c r="EY202" i="2" l="1"/>
  <c r="AH166" i="2" a="1"/>
  <c r="AH166" i="2" s="1"/>
  <c r="DN56" i="2" a="1"/>
  <c r="DN56" i="2" s="1"/>
  <c r="DN80" i="2" a="1"/>
  <c r="DN80" i="2" s="1"/>
  <c r="DN155" i="2" a="1"/>
  <c r="DN155" i="2" s="1"/>
  <c r="DN190" i="2" a="1"/>
  <c r="DN190" i="2" s="1"/>
  <c r="CS52" i="2" a="1"/>
  <c r="CS52" i="2" s="1"/>
  <c r="CS114" i="2" a="1"/>
  <c r="CS114" i="2" s="1"/>
  <c r="CS137" i="2" a="1"/>
  <c r="CS137" i="2" s="1"/>
  <c r="CS105" i="2" a="1"/>
  <c r="CS105" i="2" s="1"/>
  <c r="CS116" i="2" a="1"/>
  <c r="CS116" i="2" s="1"/>
  <c r="CS161" i="2" a="1"/>
  <c r="CS161" i="2" s="1"/>
  <c r="CS129" i="2" a="1"/>
  <c r="CS129" i="2" s="1"/>
  <c r="BP203" i="2"/>
  <c r="AH62" i="2" a="1"/>
  <c r="AH62" i="2" s="1"/>
  <c r="AH163" i="2" a="1"/>
  <c r="AH163" i="2" s="1"/>
  <c r="AH199" i="2" a="1"/>
  <c r="AH199" i="2" s="1"/>
  <c r="AH92" i="2" a="1"/>
  <c r="AH92" i="2" s="1"/>
  <c r="DN29" i="2" a="1"/>
  <c r="DN29" i="2" s="1"/>
  <c r="DN153" i="2" a="1"/>
  <c r="DN153" i="2" s="1"/>
  <c r="DN133" i="2" a="1"/>
  <c r="DN133" i="2" s="1"/>
  <c r="DN30" i="2" a="1"/>
  <c r="DN30" i="2" s="1"/>
  <c r="DN46" i="2" a="1"/>
  <c r="DN46" i="2" s="1"/>
  <c r="DN110" i="2" a="1"/>
  <c r="DN110" i="2" s="1"/>
  <c r="DN38" i="2" a="1"/>
  <c r="DN38" i="2" s="1"/>
  <c r="DN86" i="2" a="1"/>
  <c r="DN86" i="2" s="1"/>
  <c r="DN25" i="2" a="1"/>
  <c r="DN25" i="2" s="1"/>
  <c r="DN31" i="2" a="1"/>
  <c r="DN31" i="2" s="1"/>
  <c r="DN123" i="2" a="1"/>
  <c r="DN123" i="2" s="1"/>
  <c r="DN177" i="2" a="1"/>
  <c r="DN177" i="2" s="1"/>
  <c r="DN184" i="2" a="1"/>
  <c r="DN184" i="2" s="1"/>
  <c r="DN176" i="2" a="1"/>
  <c r="DN176" i="2" s="1"/>
  <c r="DN167" i="2" a="1"/>
  <c r="DN167" i="2" s="1"/>
  <c r="DN115" i="2" a="1"/>
  <c r="DN115" i="2" s="1"/>
  <c r="DN152" i="2" a="1"/>
  <c r="DN152" i="2" s="1"/>
  <c r="DN124" i="2" a="1"/>
  <c r="DN124" i="2" s="1"/>
  <c r="DN162" i="2" a="1"/>
  <c r="DN162" i="2" s="1"/>
  <c r="DN41" i="2" a="1"/>
  <c r="DN41" i="2" s="1"/>
  <c r="DN49" i="2" a="1"/>
  <c r="DN49" i="2" s="1"/>
  <c r="DN168" i="2" a="1"/>
  <c r="DN168" i="2" s="1"/>
  <c r="DN114" i="2" a="1"/>
  <c r="DN114" i="2" s="1"/>
  <c r="DN192" i="2" a="1"/>
  <c r="DN192" i="2" s="1"/>
  <c r="DN129" i="2" a="1"/>
  <c r="DN129" i="2" s="1"/>
  <c r="DN43" i="2" a="1"/>
  <c r="DN43" i="2" s="1"/>
  <c r="DN150" i="2" a="1"/>
  <c r="DN150" i="2" s="1"/>
  <c r="DN170" i="2" a="1"/>
  <c r="DN170" i="2" s="1"/>
  <c r="DN65" i="2" a="1"/>
  <c r="DN65" i="2" s="1"/>
  <c r="DN132" i="2" a="1"/>
  <c r="DN132" i="2" s="1"/>
  <c r="DN70" i="2" a="1"/>
  <c r="DN70" i="2" s="1"/>
  <c r="DN164" i="2" a="1"/>
  <c r="DN164" i="2" s="1"/>
  <c r="DN63" i="2" a="1"/>
  <c r="DN63" i="2" s="1"/>
  <c r="DN103" i="2" a="1"/>
  <c r="DN103" i="2" s="1"/>
  <c r="DN66" i="2" a="1"/>
  <c r="DN66" i="2" s="1"/>
  <c r="DN50" i="2" a="1"/>
  <c r="DN50" i="2" s="1"/>
  <c r="DN186" i="2" a="1"/>
  <c r="DN186" i="2" s="1"/>
  <c r="DN187" i="2" a="1"/>
  <c r="DN187" i="2" s="1"/>
  <c r="DN55" i="2" a="1"/>
  <c r="DN55" i="2" s="1"/>
  <c r="DN135" i="2" a="1"/>
  <c r="DN135" i="2" s="1"/>
  <c r="DN188" i="2" a="1"/>
  <c r="DN188" i="2" s="1"/>
  <c r="DN113" i="2" a="1"/>
  <c r="DN113" i="2" s="1"/>
  <c r="DN137" i="2" a="1"/>
  <c r="DN137" i="2" s="1"/>
  <c r="CS66" i="2" a="1"/>
  <c r="CS66" i="2" s="1"/>
  <c r="CS77" i="2" a="1"/>
  <c r="CS77" i="2" s="1"/>
  <c r="BC83" i="2" a="1"/>
  <c r="BC83" i="2" s="1"/>
  <c r="BC164" i="2" a="1"/>
  <c r="BC164" i="2" s="1"/>
  <c r="BC82" i="2" a="1"/>
  <c r="BC82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<sst xmlns="http://schemas.openxmlformats.org/spreadsheetml/2006/main" count="1176" uniqueCount="324">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</sst>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2.2905884821016174</c:v>
                </c:pt>
                <c:pt idx="2">
                  <c:v>2.7806391363113296</c:v>
                </c:pt>
                <c:pt idx="3">
                  <c:v>3.3759301901802239</c:v>
                </c:pt>
                <c:pt idx="4">
                  <c:v>4.099143282634464</c:v>
                </c:pt>
                <c:pt idx="5">
                  <c:v>4.9778647811784866</c:v>
                </c:pt>
                <c:pt idx="6">
                  <c:v>6.045649679899987</c:v>
                </c:pt>
                <c:pt idx="7">
                  <c:v>7.3433169303918868</c:v>
                </c:pt>
                <c:pt idx="8">
                  <c:v>8.9205266819032492</c:v>
                </c:pt>
                <c:pt idx="9">
                  <c:v>10.837700942422877</c:v>
                </c:pt>
                <c:pt idx="10">
                  <c:v>13.168362625644917</c:v>
                </c:pt>
                <c:pt idx="11">
                  <c:v>16.001984350656915</c:v>
                </c:pt>
                <c:pt idx="12">
                  <c:v>19.447458359250124</c:v>
                </c:pt>
                <c:pt idx="13">
                  <c:v>23.637323299944232</c:v>
                </c:pt>
                <c:pt idx="14">
                  <c:v>28.732913361935303</c:v>
                </c:pt>
                <c:pt idx="15">
                  <c:v>34.930631502141807</c:v>
                </c:pt>
                <c:pt idx="16">
                  <c:v>42.469592729158251</c:v>
                </c:pt>
                <c:pt idx="17">
                  <c:v>51.640937340027314</c:v>
                </c:pt>
                <c:pt idx="18">
                  <c:v>62.799179785769574</c:v>
                </c:pt>
                <c:pt idx="19">
                  <c:v>76.376039076760833</c:v>
                </c:pt>
                <c:pt idx="20">
                  <c:v>92.897294511118176</c:v>
                </c:pt>
                <c:pt idx="21">
                  <c:v>110.61638527930711</c:v>
                </c:pt>
                <c:pt idx="22">
                  <c:v>128.2656339177079</c:v>
                </c:pt>
                <c:pt idx="23">
                  <c:v>145.85602540789642</c:v>
                </c:pt>
                <c:pt idx="24">
                  <c:v>163.39566695137304</c:v>
                </c:pt>
                <c:pt idx="25">
                  <c:v>180.89077768928109</c:v>
                </c:pt>
                <c:pt idx="26">
                  <c:v>158.93547642720694</c:v>
                </c:pt>
                <c:pt idx="27">
                  <c:v>178.3486013074241</c:v>
                </c:pt>
                <c:pt idx="28">
                  <c:v>197.71217376629156</c:v>
                </c:pt>
                <c:pt idx="29">
                  <c:v>217.0317313188167</c:v>
                </c:pt>
                <c:pt idx="30">
                  <c:v>236.3117437149856</c:v>
                </c:pt>
                <c:pt idx="31">
                  <c:v>201.19913913928846</c:v>
                </c:pt>
                <c:pt idx="32">
                  <c:v>221.46000423097382</c:v>
                </c:pt>
                <c:pt idx="33">
                  <c:v>241.67832984636482</c:v>
                </c:pt>
                <c:pt idx="34">
                  <c:v>261.85817498084765</c:v>
                </c:pt>
                <c:pt idx="35">
                  <c:v>282.00292156784502</c:v>
                </c:pt>
                <c:pt idx="36">
                  <c:v>247.98849436354377</c:v>
                </c:pt>
                <c:pt idx="37">
                  <c:v>269.10157451791832</c:v>
                </c:pt>
                <c:pt idx="38">
                  <c:v>290.17736922706086</c:v>
                </c:pt>
                <c:pt idx="39">
                  <c:v>311.21896638426068</c:v>
                </c:pt>
                <c:pt idx="40">
                  <c:v>332.22900222431554</c:v>
                </c:pt>
                <c:pt idx="41">
                  <c:v>298.97487129723987</c:v>
                </c:pt>
                <c:pt idx="42">
                  <c:v>320.63020395999428</c:v>
                </c:pt>
                <c:pt idx="43">
                  <c:v>342.25318435718253</c:v>
                </c:pt>
                <c:pt idx="44">
                  <c:v>363.84614273023845</c:v>
                </c:pt>
                <c:pt idx="45">
                  <c:v>385.41111025063861</c:v>
                </c:pt>
                <c:pt idx="46">
                  <c:v>351.95795503306795</c:v>
                </c:pt>
                <c:pt idx="47">
                  <c:v>373.22554483512414</c:v>
                </c:pt>
                <c:pt idx="48">
                  <c:v>394.46673042704862</c:v>
                </c:pt>
                <c:pt idx="49">
                  <c:v>415.68313267172863</c:v>
                </c:pt>
                <c:pt idx="50">
                  <c:v>436.8761935627694</c:v>
                </c:pt>
                <c:pt idx="51">
                  <c:v>3.405245110226996E-12</c:v>
                </c:pt>
                <c:pt idx="52">
                  <c:v>3.405245110226996E-12</c:v>
                </c:pt>
                <c:pt idx="53">
                  <c:v>3.405245110226996E-12</c:v>
                </c:pt>
                <c:pt idx="54">
                  <c:v>3.405245110226996E-12</c:v>
                </c:pt>
                <c:pt idx="55">
                  <c:v>3.405245110226996E-12</c:v>
                </c:pt>
                <c:pt idx="56">
                  <c:v>3.405245110226996E-12</c:v>
                </c:pt>
                <c:pt idx="57">
                  <c:v>3.405245110226996E-12</c:v>
                </c:pt>
                <c:pt idx="58">
                  <c:v>3.405245110226996E-12</c:v>
                </c:pt>
                <c:pt idx="59">
                  <c:v>3.405245110226996E-12</c:v>
                </c:pt>
                <c:pt idx="60">
                  <c:v>3.405245110226996E-12</c:v>
                </c:pt>
                <c:pt idx="61">
                  <c:v>3.405245110226996E-12</c:v>
                </c:pt>
                <c:pt idx="62">
                  <c:v>3.405245110226996E-12</c:v>
                </c:pt>
                <c:pt idx="63">
                  <c:v>3.405245110226996E-12</c:v>
                </c:pt>
                <c:pt idx="64">
                  <c:v>3.405245110226996E-12</c:v>
                </c:pt>
                <c:pt idx="65">
                  <c:v>3.405245110226996E-12</c:v>
                </c:pt>
                <c:pt idx="66">
                  <c:v>3.405245110226996E-12</c:v>
                </c:pt>
                <c:pt idx="67">
                  <c:v>3.405245110226996E-12</c:v>
                </c:pt>
                <c:pt idx="68">
                  <c:v>3.405245110226996E-12</c:v>
                </c:pt>
                <c:pt idx="69">
                  <c:v>3.405245110226996E-12</c:v>
                </c:pt>
                <c:pt idx="70">
                  <c:v>3.405245110226996E-12</c:v>
                </c:pt>
                <c:pt idx="71">
                  <c:v>3.405245110226996E-12</c:v>
                </c:pt>
                <c:pt idx="72">
                  <c:v>3.405245110226996E-12</c:v>
                </c:pt>
                <c:pt idx="73">
                  <c:v>3.405245110226996E-12</c:v>
                </c:pt>
                <c:pt idx="74">
                  <c:v>3.405245110226996E-12</c:v>
                </c:pt>
                <c:pt idx="75">
                  <c:v>3.405245110226996E-12</c:v>
                </c:pt>
                <c:pt idx="76">
                  <c:v>3.405245110226996E-12</c:v>
                </c:pt>
                <c:pt idx="77">
                  <c:v>3.405245110226996E-12</c:v>
                </c:pt>
                <c:pt idx="78">
                  <c:v>3.405245110226996E-12</c:v>
                </c:pt>
                <c:pt idx="79">
                  <c:v>3.405245110226996E-12</c:v>
                </c:pt>
                <c:pt idx="80">
                  <c:v>3.405245110226996E-12</c:v>
                </c:pt>
                <c:pt idx="81">
                  <c:v>3.405245110226996E-12</c:v>
                </c:pt>
                <c:pt idx="82">
                  <c:v>3.405245110226996E-12</c:v>
                </c:pt>
                <c:pt idx="83">
                  <c:v>3.405245110226996E-12</c:v>
                </c:pt>
                <c:pt idx="84">
                  <c:v>3.405245110226996E-12</c:v>
                </c:pt>
                <c:pt idx="85">
                  <c:v>3.405245110226996E-12</c:v>
                </c:pt>
                <c:pt idx="86">
                  <c:v>3.405245110226996E-12</c:v>
                </c:pt>
                <c:pt idx="87">
                  <c:v>3.405245110226996E-12</c:v>
                </c:pt>
                <c:pt idx="88">
                  <c:v>3.405245110226996E-12</c:v>
                </c:pt>
                <c:pt idx="89">
                  <c:v>3.405245110226996E-12</c:v>
                </c:pt>
                <c:pt idx="90">
                  <c:v>3.405245110226996E-12</c:v>
                </c:pt>
                <c:pt idx="91">
                  <c:v>3.405245110226996E-12</c:v>
                </c:pt>
                <c:pt idx="92">
                  <c:v>3.405245110226996E-12</c:v>
                </c:pt>
                <c:pt idx="93">
                  <c:v>3.405245110226996E-12</c:v>
                </c:pt>
                <c:pt idx="94">
                  <c:v>3.405245110226996E-12</c:v>
                </c:pt>
                <c:pt idx="95">
                  <c:v>3.405245110226996E-12</c:v>
                </c:pt>
                <c:pt idx="96">
                  <c:v>3.405245110226996E-12</c:v>
                </c:pt>
                <c:pt idx="97">
                  <c:v>3.405245110226996E-12</c:v>
                </c:pt>
                <c:pt idx="98">
                  <c:v>3.405245110226996E-12</c:v>
                </c:pt>
                <c:pt idx="99">
                  <c:v>3.405245110226996E-12</c:v>
                </c:pt>
                <c:pt idx="100">
                  <c:v>3.405245110226996E-12</c:v>
                </c:pt>
                <c:pt idx="101">
                  <c:v>3.405245110226996E-12</c:v>
                </c:pt>
                <c:pt idx="102">
                  <c:v>3.405245110226996E-12</c:v>
                </c:pt>
                <c:pt idx="103">
                  <c:v>3.405245110226996E-12</c:v>
                </c:pt>
                <c:pt idx="104">
                  <c:v>3.405245110226996E-12</c:v>
                </c:pt>
                <c:pt idx="105">
                  <c:v>3.405245110226996E-12</c:v>
                </c:pt>
                <c:pt idx="106">
                  <c:v>3.405245110226996E-12</c:v>
                </c:pt>
                <c:pt idx="107">
                  <c:v>3.405245110226996E-12</c:v>
                </c:pt>
                <c:pt idx="108">
                  <c:v>3.405245110226996E-12</c:v>
                </c:pt>
                <c:pt idx="109">
                  <c:v>3.405245110226996E-12</c:v>
                </c:pt>
                <c:pt idx="110">
                  <c:v>3.405245110226996E-12</c:v>
                </c:pt>
                <c:pt idx="111">
                  <c:v>3.405245110226996E-12</c:v>
                </c:pt>
                <c:pt idx="112">
                  <c:v>3.405245110226996E-12</c:v>
                </c:pt>
                <c:pt idx="113">
                  <c:v>3.405245110226996E-12</c:v>
                </c:pt>
                <c:pt idx="114">
                  <c:v>3.405245110226996E-12</c:v>
                </c:pt>
                <c:pt idx="115">
                  <c:v>3.405245110226996E-12</c:v>
                </c:pt>
                <c:pt idx="116">
                  <c:v>3.405245110226996E-12</c:v>
                </c:pt>
                <c:pt idx="117">
                  <c:v>3.405245110226996E-12</c:v>
                </c:pt>
                <c:pt idx="118">
                  <c:v>3.405245110226996E-12</c:v>
                </c:pt>
                <c:pt idx="119">
                  <c:v>3.405245110226996E-12</c:v>
                </c:pt>
                <c:pt idx="120">
                  <c:v>3.405245110226996E-12</c:v>
                </c:pt>
                <c:pt idx="121">
                  <c:v>3.405245110226996E-12</c:v>
                </c:pt>
                <c:pt idx="122">
                  <c:v>3.405245110226996E-12</c:v>
                </c:pt>
                <c:pt idx="123">
                  <c:v>3.405245110226996E-12</c:v>
                </c:pt>
                <c:pt idx="124">
                  <c:v>3.405245110226996E-12</c:v>
                </c:pt>
                <c:pt idx="125">
                  <c:v>3.405245110226996E-12</c:v>
                </c:pt>
                <c:pt idx="126">
                  <c:v>3.405245110226996E-12</c:v>
                </c:pt>
                <c:pt idx="127">
                  <c:v>3.405245110226996E-12</c:v>
                </c:pt>
                <c:pt idx="128">
                  <c:v>3.405245110226996E-12</c:v>
                </c:pt>
                <c:pt idx="129">
                  <c:v>3.405245110226996E-12</c:v>
                </c:pt>
                <c:pt idx="130">
                  <c:v>3.405245110226996E-12</c:v>
                </c:pt>
                <c:pt idx="131">
                  <c:v>3.405245110226996E-12</c:v>
                </c:pt>
                <c:pt idx="132">
                  <c:v>3.405245110226996E-12</c:v>
                </c:pt>
                <c:pt idx="133">
                  <c:v>3.405245110226996E-12</c:v>
                </c:pt>
                <c:pt idx="134">
                  <c:v>3.405245110226996E-12</c:v>
                </c:pt>
                <c:pt idx="135">
                  <c:v>3.405245110226996E-12</c:v>
                </c:pt>
                <c:pt idx="136">
                  <c:v>3.405245110226996E-12</c:v>
                </c:pt>
                <c:pt idx="137">
                  <c:v>3.405245110226996E-12</c:v>
                </c:pt>
                <c:pt idx="138">
                  <c:v>3.405245110226996E-12</c:v>
                </c:pt>
                <c:pt idx="139">
                  <c:v>3.405245110226996E-12</c:v>
                </c:pt>
                <c:pt idx="140">
                  <c:v>3.405245110226996E-12</c:v>
                </c:pt>
                <c:pt idx="141">
                  <c:v>3.405245110226996E-12</c:v>
                </c:pt>
                <c:pt idx="142">
                  <c:v>3.405245110226996E-12</c:v>
                </c:pt>
                <c:pt idx="143">
                  <c:v>3.405245110226996E-12</c:v>
                </c:pt>
                <c:pt idx="144">
                  <c:v>3.405245110226996E-12</c:v>
                </c:pt>
                <c:pt idx="145">
                  <c:v>3.405245110226996E-12</c:v>
                </c:pt>
                <c:pt idx="146">
                  <c:v>3.405245110226996E-12</c:v>
                </c:pt>
                <c:pt idx="147">
                  <c:v>3.405245110226996E-12</c:v>
                </c:pt>
                <c:pt idx="148">
                  <c:v>3.405245110226996E-12</c:v>
                </c:pt>
                <c:pt idx="149">
                  <c:v>3.405245110226996E-12</c:v>
                </c:pt>
                <c:pt idx="150">
                  <c:v>3.405245110226996E-12</c:v>
                </c:pt>
                <c:pt idx="151">
                  <c:v>3.405245110226996E-12</c:v>
                </c:pt>
                <c:pt idx="152">
                  <c:v>3.405245110226996E-12</c:v>
                </c:pt>
                <c:pt idx="153">
                  <c:v>3.405245110226996E-12</c:v>
                </c:pt>
                <c:pt idx="154">
                  <c:v>3.405245110226996E-12</c:v>
                </c:pt>
                <c:pt idx="155">
                  <c:v>3.405245110226996E-12</c:v>
                </c:pt>
                <c:pt idx="156">
                  <c:v>3.405245110226996E-12</c:v>
                </c:pt>
                <c:pt idx="157">
                  <c:v>3.405245110226996E-12</c:v>
                </c:pt>
                <c:pt idx="158">
                  <c:v>3.405245110226996E-12</c:v>
                </c:pt>
                <c:pt idx="159">
                  <c:v>3.405245110226996E-12</c:v>
                </c:pt>
                <c:pt idx="160">
                  <c:v>3.405245110226996E-12</c:v>
                </c:pt>
                <c:pt idx="161">
                  <c:v>3.405245110226996E-12</c:v>
                </c:pt>
                <c:pt idx="162">
                  <c:v>3.405245110226996E-12</c:v>
                </c:pt>
                <c:pt idx="163">
                  <c:v>3.405245110226996E-12</c:v>
                </c:pt>
                <c:pt idx="164">
                  <c:v>3.405245110226996E-12</c:v>
                </c:pt>
                <c:pt idx="165">
                  <c:v>3.405245110226996E-12</c:v>
                </c:pt>
                <c:pt idx="166">
                  <c:v>3.405245110226996E-12</c:v>
                </c:pt>
                <c:pt idx="167">
                  <c:v>3.405245110226996E-12</c:v>
                </c:pt>
                <c:pt idx="168">
                  <c:v>3.405245110226996E-12</c:v>
                </c:pt>
                <c:pt idx="169">
                  <c:v>3.405245110226996E-12</c:v>
                </c:pt>
                <c:pt idx="170">
                  <c:v>3.405245110226996E-12</c:v>
                </c:pt>
                <c:pt idx="171">
                  <c:v>3.405245110226996E-12</c:v>
                </c:pt>
                <c:pt idx="172">
                  <c:v>3.405245110226996E-12</c:v>
                </c:pt>
                <c:pt idx="173">
                  <c:v>3.405245110226996E-12</c:v>
                </c:pt>
                <c:pt idx="174">
                  <c:v>3.405245110226996E-12</c:v>
                </c:pt>
                <c:pt idx="175">
                  <c:v>3.405245110226996E-12</c:v>
                </c:pt>
                <c:pt idx="176">
                  <c:v>3.405245110226996E-12</c:v>
                </c:pt>
                <c:pt idx="177">
                  <c:v>3.405245110226996E-12</c:v>
                </c:pt>
                <c:pt idx="178">
                  <c:v>3.405245110226996E-12</c:v>
                </c:pt>
                <c:pt idx="179">
                  <c:v>3.405245110226996E-12</c:v>
                </c:pt>
                <c:pt idx="180">
                  <c:v>3.405245110226996E-12</c:v>
                </c:pt>
                <c:pt idx="181">
                  <c:v>3.405245110226996E-12</c:v>
                </c:pt>
                <c:pt idx="182">
                  <c:v>3.405245110226996E-12</c:v>
                </c:pt>
                <c:pt idx="183">
                  <c:v>3.405245110226996E-12</c:v>
                </c:pt>
                <c:pt idx="184">
                  <c:v>3.405245110226996E-12</c:v>
                </c:pt>
                <c:pt idx="185">
                  <c:v>3.405245110226996E-12</c:v>
                </c:pt>
                <c:pt idx="186">
                  <c:v>3.405245110226996E-12</c:v>
                </c:pt>
                <c:pt idx="187">
                  <c:v>3.405245110226996E-12</c:v>
                </c:pt>
                <c:pt idx="188">
                  <c:v>3.405245110226996E-12</c:v>
                </c:pt>
                <c:pt idx="189">
                  <c:v>3.405245110226996E-12</c:v>
                </c:pt>
                <c:pt idx="190">
                  <c:v>3.405245110226996E-12</c:v>
                </c:pt>
                <c:pt idx="191">
                  <c:v>3.405245110226996E-12</c:v>
                </c:pt>
                <c:pt idx="192">
                  <c:v>3.405245110226996E-12</c:v>
                </c:pt>
                <c:pt idx="193">
                  <c:v>3.405245110226996E-12</c:v>
                </c:pt>
                <c:pt idx="194">
                  <c:v>3.405245110226996E-12</c:v>
                </c:pt>
                <c:pt idx="195">
                  <c:v>3.405245110226996E-12</c:v>
                </c:pt>
                <c:pt idx="196">
                  <c:v>3.405245110226996E-12</c:v>
                </c:pt>
                <c:pt idx="197">
                  <c:v>3.405245110226996E-12</c:v>
                </c:pt>
                <c:pt idx="198">
                  <c:v>3.405245110226996E-12</c:v>
                </c:pt>
                <c:pt idx="199">
                  <c:v>3.405245110226996E-12</c:v>
                </c:pt>
                <c:pt idx="200">
                  <c:v>3.405245110226996E-12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351.99790751820501</c:v>
                </c:pt>
                <c:pt idx="42">
                  <c:v>367.95110424042531</c:v>
                </c:pt>
                <c:pt idx="43">
                  <c:v>383.88920919164849</c:v>
                </c:pt>
                <c:pt idx="44">
                  <c:v>399.81293702596389</c:v>
                </c:pt>
                <c:pt idx="45">
                  <c:v>415.72294083711472</c:v>
                </c:pt>
                <c:pt idx="46">
                  <c:v>390.32815400232903</c:v>
                </c:pt>
                <c:pt idx="47">
                  <c:v>405.56917103469476</c:v>
                </c:pt>
                <c:pt idx="48">
                  <c:v>420.79781154308063</c:v>
                </c:pt>
                <c:pt idx="49">
                  <c:v>436.01458640999027</c:v>
                </c:pt>
                <c:pt idx="50">
                  <c:v>451.21996795767319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456.62366402503341</c:v>
                </c:pt>
                <c:pt idx="54">
                  <c:v>469.11450984619819</c:v>
                </c:pt>
                <c:pt idx="55">
                  <c:v>481.5982718486552</c:v>
                </c:pt>
                <c:pt idx="56">
                  <c:v>465.06421135415462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506.88231274768867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78.026681717112226</c:v>
                </c:pt>
                <c:pt idx="22">
                  <c:v>93.172080657101858</c:v>
                </c:pt>
                <c:pt idx="23">
                  <c:v>108.25587760652975</c:v>
                </c:pt>
                <c:pt idx="24">
                  <c:v>123.28788824388072</c:v>
                </c:pt>
                <c:pt idx="25">
                  <c:v>138.27532721770669</c:v>
                </c:pt>
                <c:pt idx="26">
                  <c:v>144.25910208402118</c:v>
                </c:pt>
                <c:pt idx="27">
                  <c:v>163.29402328311821</c:v>
                </c:pt>
                <c:pt idx="28">
                  <c:v>182.27645146290988</c:v>
                </c:pt>
                <c:pt idx="29">
                  <c:v>201.21262563029919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230.46511069348844</c:v>
                </c:pt>
                <c:pt idx="37">
                  <c:v>250.04186301596874</c:v>
                </c:pt>
                <c:pt idx="38">
                  <c:v>269.58386372150011</c:v>
                </c:pt>
                <c:pt idx="39">
                  <c:v>289.09398574595843</c:v>
                </c:pt>
                <c:pt idx="40">
                  <c:v>308.5746825039426</c:v>
                </c:pt>
                <c:pt idx="41">
                  <c:v>276.94977849512787</c:v>
                </c:pt>
                <c:pt idx="42">
                  <c:v>296.81614745645362</c:v>
                </c:pt>
                <c:pt idx="43">
                  <c:v>316.65287813060655</c:v>
                </c:pt>
                <c:pt idx="44">
                  <c:v>336.46208765640489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267.44578983214518</c:v>
                </c:pt>
                <c:pt idx="17">
                  <c:v>301.48848927400928</c:v>
                </c:pt>
                <c:pt idx="18">
                  <c:v>335.44558817007095</c:v>
                </c:pt>
                <c:pt idx="19">
                  <c:v>369.32696235512088</c:v>
                </c:pt>
                <c:pt idx="20">
                  <c:v>403.14052729824169</c:v>
                </c:pt>
                <c:pt idx="21">
                  <c:v>425.4900641128516</c:v>
                </c:pt>
                <c:pt idx="22">
                  <c:v>460.86531362427507</c:v>
                </c:pt>
                <c:pt idx="23">
                  <c:v>496.18262831321022</c:v>
                </c:pt>
                <c:pt idx="24">
                  <c:v>531.44670479748004</c:v>
                </c:pt>
                <c:pt idx="25">
                  <c:v>566.66156628829015</c:v>
                </c:pt>
                <c:pt idx="26">
                  <c:v>544.68739506155214</c:v>
                </c:pt>
                <c:pt idx="27">
                  <c:v>577.0516950477969</c:v>
                </c:pt>
                <c:pt idx="28">
                  <c:v>609.37813237514945</c:v>
                </c:pt>
                <c:pt idx="29">
                  <c:v>641.66899467097437</c:v>
                </c:pt>
                <c:pt idx="30">
                  <c:v>673.92632089044412</c:v>
                </c:pt>
                <c:pt idx="31">
                  <c:v>623.99579455846367</c:v>
                </c:pt>
                <c:pt idx="32">
                  <c:v>652.97455038641306</c:v>
                </c:pt>
                <c:pt idx="33">
                  <c:v>681.9268108715595</c:v>
                </c:pt>
                <c:pt idx="34">
                  <c:v>710.85385738964942</c:v>
                </c:pt>
                <c:pt idx="35">
                  <c:v>739.75685868452183</c:v>
                </c:pt>
                <c:pt idx="36">
                  <c:v>680.98567721693689</c:v>
                </c:pt>
                <c:pt idx="37">
                  <c:v>706.85726762405102</c:v>
                </c:pt>
                <c:pt idx="38">
                  <c:v>732.70950401316429</c:v>
                </c:pt>
                <c:pt idx="39">
                  <c:v>758.54316435646797</c:v>
                </c:pt>
                <c:pt idx="40">
                  <c:v>784.35896939202519</c:v>
                </c:pt>
                <c:pt idx="41">
                  <c:v>715.55514006165993</c:v>
                </c:pt>
                <c:pt idx="42">
                  <c:v>739.52196895800637</c:v>
                </c:pt>
                <c:pt idx="43">
                  <c:v>763.47299401473254</c:v>
                </c:pt>
                <c:pt idx="44">
                  <c:v>787.40878011653638</c:v>
                </c:pt>
                <c:pt idx="45">
                  <c:v>811.32985505325234</c:v>
                </c:pt>
                <c:pt idx="46">
                  <c:v>737.64279642681765</c:v>
                </c:pt>
                <c:pt idx="47">
                  <c:v>760.18651296112273</c:v>
                </c:pt>
                <c:pt idx="48">
                  <c:v>782.7166642850392</c:v>
                </c:pt>
                <c:pt idx="49">
                  <c:v>805.23369532082245</c:v>
                </c:pt>
                <c:pt idx="50">
                  <c:v>827.73802411254826</c:v>
                </c:pt>
                <c:pt idx="51">
                  <c:v>760.65602788121134</c:v>
                </c:pt>
                <c:pt idx="52">
                  <c:v>781.54354651633878</c:v>
                </c:pt>
                <c:pt idx="53">
                  <c:v>802.41976942349982</c:v>
                </c:pt>
                <c:pt idx="54">
                  <c:v>823.28503149104245</c:v>
                </c:pt>
                <c:pt idx="55">
                  <c:v>844.13964927038353</c:v>
                </c:pt>
                <c:pt idx="56">
                  <c:v>786.47040231283734</c:v>
                </c:pt>
                <c:pt idx="57">
                  <c:v>806.17162648284011</c:v>
                </c:pt>
                <c:pt idx="58">
                  <c:v>825.86313877910959</c:v>
                </c:pt>
                <c:pt idx="59">
                  <c:v>845.5452030971519</c:v>
                </c:pt>
                <c:pt idx="60">
                  <c:v>865.21807006056008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2.7116799046308953</c:v>
                </c:pt>
                <c:pt idx="2">
                  <c:v>3.292157737573659</c:v>
                </c:pt>
                <c:pt idx="3">
                  <c:v>3.9973642352140826</c:v>
                </c:pt>
                <c:pt idx="4">
                  <c:v>4.8541950623551973</c:v>
                </c:pt>
                <c:pt idx="5">
                  <c:v>5.8953646560043245</c:v>
                </c:pt>
                <c:pt idx="6">
                  <c:v>7.160668951585996</c:v>
                </c:pt>
                <c:pt idx="7">
                  <c:v>8.6985229059009512</c:v>
                </c:pt>
                <c:pt idx="8">
                  <c:v>10.567832773311686</c:v>
                </c:pt>
                <c:pt idx="9">
                  <c:v>12.840276204080633</c:v>
                </c:pt>
                <c:pt idx="10">
                  <c:v>15.603079220052257</c:v>
                </c:pt>
                <c:pt idx="11">
                  <c:v>18.962398614020092</c:v>
                </c:pt>
                <c:pt idx="12">
                  <c:v>23.047442085036295</c:v>
                </c:pt>
                <c:pt idx="13">
                  <c:v>28.015487401887327</c:v>
                </c:pt>
                <c:pt idx="14">
                  <c:v>34.057997226989983</c:v>
                </c:pt>
                <c:pt idx="15">
                  <c:v>41.40806933137312</c:v>
                </c:pt>
                <c:pt idx="16">
                  <c:v>50.349514494447213</c:v>
                </c:pt>
                <c:pt idx="17">
                  <c:v>61.227918492005166</c:v>
                </c:pt>
                <c:pt idx="18">
                  <c:v>74.464122773166778</c:v>
                </c:pt>
                <c:pt idx="19">
                  <c:v>90.570653812544677</c:v>
                </c:pt>
                <c:pt idx="20">
                  <c:v>110.17174748207316</c:v>
                </c:pt>
                <c:pt idx="21">
                  <c:v>131.19552875292825</c:v>
                </c:pt>
                <c:pt idx="22">
                  <c:v>152.13777377111367</c:v>
                </c:pt>
                <c:pt idx="23">
                  <c:v>173.01130680524864</c:v>
                </c:pt>
                <c:pt idx="24">
                  <c:v>193.82559249840719</c:v>
                </c:pt>
                <c:pt idx="25">
                  <c:v>214.58789130305843</c:v>
                </c:pt>
                <c:pt idx="26">
                  <c:v>188.5326005305686</c:v>
                </c:pt>
                <c:pt idx="27">
                  <c:v>211.57091737527435</c:v>
                </c:pt>
                <c:pt idx="28">
                  <c:v>234.55138491384039</c:v>
                </c:pt>
                <c:pt idx="29">
                  <c:v>257.48046784349413</c:v>
                </c:pt>
                <c:pt idx="30">
                  <c:v>280.36338431358689</c:v>
                </c:pt>
                <c:pt idx="31">
                  <c:v>238.68976915585526</c:v>
                </c:pt>
                <c:pt idx="32">
                  <c:v>262.7361980255701</c:v>
                </c:pt>
                <c:pt idx="33">
                  <c:v>286.73296475728768</c:v>
                </c:pt>
                <c:pt idx="34">
                  <c:v>310.68480797043981</c:v>
                </c:pt>
                <c:pt idx="35">
                  <c:v>334.59567585759896</c:v>
                </c:pt>
                <c:pt idx="36">
                  <c:v>294.22254221033853</c:v>
                </c:pt>
                <c:pt idx="37">
                  <c:v>319.28230720978166</c:v>
                </c:pt>
                <c:pt idx="38">
                  <c:v>344.29854381894569</c:v>
                </c:pt>
                <c:pt idx="39">
                  <c:v>369.27485695721407</c:v>
                </c:pt>
                <c:pt idx="40">
                  <c:v>394.21432426135465</c:v>
                </c:pt>
                <c:pt idx="41">
                  <c:v>354.74107434847861</c:v>
                </c:pt>
                <c:pt idx="42">
                  <c:v>380.44617082447013</c:v>
                </c:pt>
                <c:pt idx="43">
                  <c:v>406.11349808426445</c:v>
                </c:pt>
                <c:pt idx="44">
                  <c:v>431.74577653680268</c:v>
                </c:pt>
                <c:pt idx="45">
                  <c:v>457.3453774458365</c:v>
                </c:pt>
                <c:pt idx="46">
                  <c:v>417.6336362599788</c:v>
                </c:pt>
                <c:pt idx="47">
                  <c:v>442.87992451288682</c:v>
                </c:pt>
                <c:pt idx="48">
                  <c:v>468.09538752671102</c:v>
                </c:pt>
                <c:pt idx="49">
                  <c:v>493.28191755597322</c:v>
                </c:pt>
                <c:pt idx="50">
                  <c:v>518.4411980366641</c:v>
                </c:pt>
                <c:pt idx="51">
                  <c:v>478.46971536977048</c:v>
                </c:pt>
                <c:pt idx="52">
                  <c:v>503.27480603905269</c:v>
                </c:pt>
                <c:pt idx="53">
                  <c:v>528.05404295735536</c:v>
                </c:pt>
                <c:pt idx="54">
                  <c:v>552.80880861313801</c:v>
                </c:pt>
                <c:pt idx="55">
                  <c:v>577.54035171190264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O18" sqref="O18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J35" sqref="J3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4.26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8</v>
      </c>
      <c r="C9" s="32">
        <v>0.22</v>
      </c>
      <c r="D9" s="33">
        <f t="shared" ref="D9:D18" si="0">C9*$C$5</f>
        <v>0.93719999999999992</v>
      </c>
      <c r="E9" s="34">
        <v>50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23</v>
      </c>
      <c r="C10" s="32">
        <v>0.22</v>
      </c>
      <c r="D10" s="33">
        <f t="shared" si="0"/>
        <v>0.93719999999999992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0.2</v>
      </c>
      <c r="D11" s="33">
        <f t="shared" si="0"/>
        <v>0.85199999999999998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29</v>
      </c>
      <c r="C12" s="32">
        <v>0.1</v>
      </c>
      <c r="D12" s="33">
        <f t="shared" si="0"/>
        <v>0.42599999999999999</v>
      </c>
      <c r="E12" s="34">
        <v>69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25</v>
      </c>
      <c r="C13" s="32">
        <v>0.1</v>
      </c>
      <c r="D13" s="33">
        <f t="shared" si="0"/>
        <v>0.42599999999999999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18</v>
      </c>
      <c r="C14" s="32">
        <v>0.1</v>
      </c>
      <c r="D14" s="33">
        <f t="shared" si="0"/>
        <v>0.42599999999999999</v>
      </c>
      <c r="E14" s="34">
        <v>60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13</v>
      </c>
      <c r="C15" s="32">
        <v>0.06</v>
      </c>
      <c r="D15" s="33">
        <f t="shared" si="0"/>
        <v>0.25559999999999999</v>
      </c>
      <c r="E15" s="34">
        <v>55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4.2600000000000007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Châtaignier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56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111</v>
      </c>
      <c r="C37" s="60">
        <v>1</v>
      </c>
      <c r="D37" s="60">
        <v>26</v>
      </c>
      <c r="E37" s="51"/>
      <c r="F37" s="51"/>
      <c r="G37" s="51"/>
      <c r="H37" s="51">
        <v>1</v>
      </c>
      <c r="I37" s="53">
        <f t="shared" ref="I37:I55" si="1">IF(A37&lt;&gt;0,(B37-(B36-D36))/(A37-A36),"")</f>
        <v>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146</v>
      </c>
      <c r="C38" s="60">
        <v>2</v>
      </c>
      <c r="D38" s="60">
        <v>35</v>
      </c>
      <c r="E38" s="51"/>
      <c r="F38" s="51"/>
      <c r="G38" s="51"/>
      <c r="H38" s="51">
        <v>1</v>
      </c>
      <c r="I38" s="53">
        <f t="shared" si="1"/>
        <v>12.2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175</v>
      </c>
      <c r="C39" s="60">
        <v>3</v>
      </c>
      <c r="D39" s="60">
        <v>35</v>
      </c>
      <c r="E39" s="51"/>
      <c r="F39" s="51"/>
      <c r="G39" s="51"/>
      <c r="H39" s="51"/>
      <c r="I39" s="49">
        <f t="shared" si="1"/>
        <v>12.8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207</v>
      </c>
      <c r="C40" s="60">
        <v>4</v>
      </c>
      <c r="D40" s="60">
        <v>35</v>
      </c>
      <c r="E40" s="51"/>
      <c r="F40" s="51"/>
      <c r="G40" s="51"/>
      <c r="H40" s="51"/>
      <c r="I40" s="49">
        <f t="shared" si="1"/>
        <v>13.4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241</v>
      </c>
      <c r="C41" s="60">
        <v>5</v>
      </c>
      <c r="D41" s="60">
        <v>35</v>
      </c>
      <c r="E41" s="51"/>
      <c r="F41" s="51"/>
      <c r="G41" s="51"/>
      <c r="H41" s="51"/>
      <c r="I41" s="53">
        <f t="shared" si="1"/>
        <v>13.8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274</v>
      </c>
      <c r="C42" s="60"/>
      <c r="D42" s="60">
        <v>274</v>
      </c>
      <c r="E42" s="51"/>
      <c r="F42" s="51"/>
      <c r="G42" s="51"/>
      <c r="H42" s="51"/>
      <c r="I42" s="53">
        <f t="shared" si="1"/>
        <v>13.6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sycomore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11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15</v>
      </c>
      <c r="B63" s="60">
        <v>65</v>
      </c>
      <c r="C63" s="60">
        <v>2</v>
      </c>
      <c r="D63" s="60">
        <v>32</v>
      </c>
      <c r="E63" s="51"/>
      <c r="F63" s="51"/>
      <c r="G63" s="51"/>
      <c r="H63" s="51">
        <v>1</v>
      </c>
      <c r="I63" s="49">
        <f>IF(A63&lt;&gt;0,(B63-(B62-D62))/(A63-A62),"")</f>
        <v>10.8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102</v>
      </c>
      <c r="C64" s="60">
        <v>3</v>
      </c>
      <c r="D64" s="60">
        <v>35</v>
      </c>
      <c r="E64" s="51"/>
      <c r="F64" s="51"/>
      <c r="G64" s="51"/>
      <c r="H64" s="51">
        <v>1</v>
      </c>
      <c r="I64" s="49">
        <f>IF(A64&lt;&gt;0,(B64-(B63-D63))/(A64-A63),"")</f>
        <v>13.8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25</v>
      </c>
      <c r="B65" s="60">
        <v>141</v>
      </c>
      <c r="C65" s="60">
        <v>4</v>
      </c>
      <c r="D65" s="60">
        <v>35</v>
      </c>
      <c r="E65" s="51"/>
      <c r="F65" s="51"/>
      <c r="G65" s="51"/>
      <c r="H65" s="51">
        <v>1</v>
      </c>
      <c r="I65" s="49">
        <f>IF(A65&lt;&gt;0,(B65-(B64-D64))/(A65-A64),"")</f>
        <v>14.8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30</v>
      </c>
      <c r="B66" s="60">
        <v>177</v>
      </c>
      <c r="C66" s="60">
        <v>5</v>
      </c>
      <c r="D66" s="60">
        <v>35</v>
      </c>
      <c r="E66" s="51"/>
      <c r="F66" s="51"/>
      <c r="G66" s="51"/>
      <c r="H66" s="51">
        <v>1</v>
      </c>
      <c r="I66" s="49">
        <f t="shared" ref="I66:I81" si="2">IF(A66&lt;&gt;0,(B66-(B65-D65))/(A66-A65),"")</f>
        <v>14.2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35</v>
      </c>
      <c r="B67" s="60">
        <v>206</v>
      </c>
      <c r="C67" s="60">
        <v>6</v>
      </c>
      <c r="D67" s="60">
        <v>35</v>
      </c>
      <c r="E67" s="51"/>
      <c r="F67" s="51"/>
      <c r="G67" s="51"/>
      <c r="H67" s="51"/>
      <c r="I67" s="49">
        <f t="shared" si="2"/>
        <v>12.8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40</v>
      </c>
      <c r="B68" s="60">
        <v>228</v>
      </c>
      <c r="C68" s="60">
        <v>7</v>
      </c>
      <c r="D68" s="60">
        <v>35</v>
      </c>
      <c r="E68" s="51"/>
      <c r="F68" s="51"/>
      <c r="G68" s="51"/>
      <c r="H68" s="51"/>
      <c r="I68" s="49">
        <f t="shared" si="2"/>
        <v>11.4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45</v>
      </c>
      <c r="B69" s="50">
        <v>240</v>
      </c>
      <c r="C69" s="50">
        <v>8</v>
      </c>
      <c r="D69" s="50">
        <v>24</v>
      </c>
      <c r="E69" s="51"/>
      <c r="F69" s="51"/>
      <c r="G69" s="51"/>
      <c r="H69" s="51"/>
      <c r="I69" s="49">
        <f t="shared" si="2"/>
        <v>9.4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50</v>
      </c>
      <c r="B70" s="50">
        <v>261</v>
      </c>
      <c r="C70" s="50">
        <v>9</v>
      </c>
      <c r="D70" s="50">
        <v>19</v>
      </c>
      <c r="E70" s="51"/>
      <c r="F70" s="51"/>
      <c r="G70" s="51"/>
      <c r="H70" s="51"/>
      <c r="I70" s="49">
        <f t="shared" si="2"/>
        <v>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55</v>
      </c>
      <c r="B71" s="50">
        <v>279</v>
      </c>
      <c r="C71" s="50">
        <v>10</v>
      </c>
      <c r="D71" s="50">
        <v>16</v>
      </c>
      <c r="E71" s="51"/>
      <c r="F71" s="51"/>
      <c r="G71" s="51"/>
      <c r="H71" s="51"/>
      <c r="I71" s="49">
        <f t="shared" si="2"/>
        <v>7.4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60</v>
      </c>
      <c r="B72" s="50">
        <v>294</v>
      </c>
      <c r="C72" s="50"/>
      <c r="D72" s="50">
        <v>294</v>
      </c>
      <c r="E72" s="51"/>
      <c r="F72" s="51"/>
      <c r="G72" s="51"/>
      <c r="H72" s="51"/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73</v>
      </c>
      <c r="C88" s="60">
        <v>1</v>
      </c>
      <c r="D88" s="60">
        <v>6</v>
      </c>
      <c r="E88" s="51"/>
      <c r="F88" s="51"/>
      <c r="G88" s="51"/>
      <c r="H88" s="87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103</v>
      </c>
      <c r="C89" s="60">
        <v>2</v>
      </c>
      <c r="D89" s="60">
        <v>28</v>
      </c>
      <c r="E89" s="51"/>
      <c r="F89" s="51"/>
      <c r="G89" s="51"/>
      <c r="H89" s="87">
        <v>1</v>
      </c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121</v>
      </c>
      <c r="C90" s="60">
        <v>3</v>
      </c>
      <c r="D90" s="60">
        <v>28</v>
      </c>
      <c r="E90" s="87"/>
      <c r="F90" s="87"/>
      <c r="G90" s="87"/>
      <c r="H90" s="87">
        <v>1</v>
      </c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147</v>
      </c>
      <c r="C91" s="60">
        <v>4</v>
      </c>
      <c r="D91" s="60">
        <v>28</v>
      </c>
      <c r="E91" s="87"/>
      <c r="F91" s="87"/>
      <c r="G91" s="87"/>
      <c r="H91" s="87"/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175</v>
      </c>
      <c r="C92" s="60">
        <v>5</v>
      </c>
      <c r="D92" s="60">
        <v>28</v>
      </c>
      <c r="E92" s="87"/>
      <c r="F92" s="87"/>
      <c r="G92" s="87"/>
      <c r="H92" s="87"/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204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231</v>
      </c>
      <c r="C94" s="60">
        <v>7</v>
      </c>
      <c r="D94" s="60">
        <v>28</v>
      </c>
      <c r="E94" s="87"/>
      <c r="F94" s="87"/>
      <c r="G94" s="87"/>
      <c r="H94" s="87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254</v>
      </c>
      <c r="C95" s="60">
        <v>8</v>
      </c>
      <c r="D95" s="60">
        <v>28</v>
      </c>
      <c r="E95" s="87"/>
      <c r="F95" s="87"/>
      <c r="G95" s="87"/>
      <c r="H95" s="87"/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273</v>
      </c>
      <c r="C96" s="60">
        <v>9</v>
      </c>
      <c r="D96" s="60">
        <v>28</v>
      </c>
      <c r="E96" s="87"/>
      <c r="F96" s="87"/>
      <c r="G96" s="87"/>
      <c r="H96" s="87"/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65</v>
      </c>
      <c r="B97" s="60">
        <v>289</v>
      </c>
      <c r="C97" s="60">
        <v>10</v>
      </c>
      <c r="D97" s="60">
        <v>28</v>
      </c>
      <c r="E97" s="87"/>
      <c r="F97" s="87"/>
      <c r="G97" s="87"/>
      <c r="H97" s="87"/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70</v>
      </c>
      <c r="B98" s="60">
        <v>302</v>
      </c>
      <c r="C98" s="60">
        <v>11</v>
      </c>
      <c r="D98" s="60">
        <v>28</v>
      </c>
      <c r="E98" s="87"/>
      <c r="F98" s="87"/>
      <c r="G98" s="87"/>
      <c r="H98" s="87"/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75</v>
      </c>
      <c r="B99" s="60">
        <v>312</v>
      </c>
      <c r="C99" s="60">
        <v>12</v>
      </c>
      <c r="D99" s="60">
        <v>28</v>
      </c>
      <c r="E99" s="87"/>
      <c r="F99" s="87"/>
      <c r="G99" s="87"/>
      <c r="H99" s="87"/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80</v>
      </c>
      <c r="B100" s="60">
        <v>320</v>
      </c>
      <c r="C100" s="60"/>
      <c r="D100" s="60">
        <v>320</v>
      </c>
      <c r="E100" s="65"/>
      <c r="F100" s="65"/>
      <c r="G100" s="65"/>
      <c r="H100" s="65"/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40</v>
      </c>
      <c r="C114" s="50">
        <v>1</v>
      </c>
      <c r="D114" s="60">
        <v>3</v>
      </c>
      <c r="E114" s="51"/>
      <c r="F114" s="51"/>
      <c r="G114" s="51"/>
      <c r="H114" s="51">
        <v>1</v>
      </c>
      <c r="I114" s="53">
        <f>IFERROR(B114/A114,"")</f>
        <v>2.6666666666666665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85</v>
      </c>
      <c r="C115" s="50">
        <v>2</v>
      </c>
      <c r="D115" s="60">
        <v>25</v>
      </c>
      <c r="E115" s="51"/>
      <c r="F115" s="51">
        <v>0.2</v>
      </c>
      <c r="G115" s="51">
        <v>0.8</v>
      </c>
      <c r="H115" s="51"/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25</v>
      </c>
      <c r="B116" s="60">
        <v>113</v>
      </c>
      <c r="C116" s="50">
        <v>3</v>
      </c>
      <c r="D116" s="60">
        <v>27</v>
      </c>
      <c r="E116" s="51"/>
      <c r="F116" s="51">
        <v>0.2</v>
      </c>
      <c r="G116" s="51">
        <v>0.8</v>
      </c>
      <c r="H116" s="51"/>
      <c r="I116" s="53">
        <f t="shared" si="4"/>
        <v>10.6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31</v>
      </c>
      <c r="B117" s="60">
        <v>155</v>
      </c>
      <c r="C117" s="50">
        <v>4</v>
      </c>
      <c r="D117" s="60">
        <v>36</v>
      </c>
      <c r="E117" s="51"/>
      <c r="F117" s="51"/>
      <c r="G117" s="51"/>
      <c r="H117" s="51"/>
      <c r="I117" s="53">
        <f t="shared" si="4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37</v>
      </c>
      <c r="B118" s="60">
        <v>188</v>
      </c>
      <c r="C118" s="50">
        <v>5</v>
      </c>
      <c r="D118" s="60">
        <v>36</v>
      </c>
      <c r="E118" s="51"/>
      <c r="F118" s="51"/>
      <c r="G118" s="51"/>
      <c r="H118" s="51"/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44</v>
      </c>
      <c r="B119" s="60">
        <v>230</v>
      </c>
      <c r="C119" s="50">
        <v>6</v>
      </c>
      <c r="D119" s="60">
        <v>43</v>
      </c>
      <c r="E119" s="51"/>
      <c r="F119" s="51"/>
      <c r="G119" s="51"/>
      <c r="H119" s="51"/>
      <c r="I119" s="53">
        <f t="shared" si="4"/>
        <v>11.142857142857142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52</v>
      </c>
      <c r="B120" s="60">
        <v>270</v>
      </c>
      <c r="C120" s="50">
        <v>7</v>
      </c>
      <c r="D120" s="60">
        <v>48</v>
      </c>
      <c r="E120" s="87"/>
      <c r="F120" s="87"/>
      <c r="G120" s="87"/>
      <c r="H120" s="87"/>
      <c r="I120" s="53">
        <f t="shared" si="4"/>
        <v>10.375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60</v>
      </c>
      <c r="B121" s="60">
        <v>297</v>
      </c>
      <c r="C121" s="50">
        <v>8</v>
      </c>
      <c r="D121" s="60">
        <v>47</v>
      </c>
      <c r="E121" s="87"/>
      <c r="F121" s="87"/>
      <c r="G121" s="87"/>
      <c r="H121" s="87"/>
      <c r="I121" s="53">
        <f t="shared" si="4"/>
        <v>9.375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69</v>
      </c>
      <c r="B122" s="60">
        <v>328</v>
      </c>
      <c r="C122" s="60"/>
      <c r="D122" s="60">
        <v>328</v>
      </c>
      <c r="E122" s="87"/>
      <c r="F122" s="87"/>
      <c r="G122" s="87"/>
      <c r="H122" s="87"/>
      <c r="I122" s="53">
        <f t="shared" si="4"/>
        <v>8.6666666666666661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Hêtre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32</v>
      </c>
      <c r="C140" s="50">
        <v>1</v>
      </c>
      <c r="D140" s="60">
        <v>0</v>
      </c>
      <c r="E140" s="51"/>
      <c r="F140" s="51"/>
      <c r="G140" s="51"/>
      <c r="H140" s="51">
        <v>1</v>
      </c>
      <c r="I140" s="57">
        <f>IFERROR(B140/A140,"")</f>
        <v>1.6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25</v>
      </c>
      <c r="B141" s="60">
        <v>72</v>
      </c>
      <c r="C141" s="50">
        <v>2</v>
      </c>
      <c r="D141" s="60">
        <v>7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116</v>
      </c>
      <c r="C142" s="50">
        <v>3</v>
      </c>
      <c r="D142" s="60">
        <v>28</v>
      </c>
      <c r="E142" s="51"/>
      <c r="F142" s="51"/>
      <c r="G142" s="51"/>
      <c r="H142" s="51">
        <v>1</v>
      </c>
      <c r="I142" s="57">
        <f t="shared" si="5"/>
        <v>10.199999999999999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35</v>
      </c>
      <c r="B143" s="60">
        <v>139</v>
      </c>
      <c r="C143" s="50">
        <v>4</v>
      </c>
      <c r="D143" s="60">
        <v>28</v>
      </c>
      <c r="E143" s="51"/>
      <c r="F143" s="51"/>
      <c r="G143" s="51"/>
      <c r="H143" s="51"/>
      <c r="I143" s="57">
        <f t="shared" si="5"/>
        <v>10.199999999999999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40</v>
      </c>
      <c r="B144" s="60">
        <v>164</v>
      </c>
      <c r="C144" s="50">
        <v>5</v>
      </c>
      <c r="D144" s="60">
        <v>28</v>
      </c>
      <c r="E144" s="51"/>
      <c r="F144" s="51"/>
      <c r="G144" s="51"/>
      <c r="H144" s="51"/>
      <c r="I144" s="57">
        <f t="shared" si="5"/>
        <v>10.6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45</v>
      </c>
      <c r="B145" s="60">
        <v>190</v>
      </c>
      <c r="C145" s="50">
        <v>6</v>
      </c>
      <c r="D145" s="60">
        <v>28</v>
      </c>
      <c r="E145" s="51"/>
      <c r="F145" s="51"/>
      <c r="G145" s="51"/>
      <c r="H145" s="51"/>
      <c r="I145" s="57">
        <f t="shared" si="5"/>
        <v>10.8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50</v>
      </c>
      <c r="B146" s="60">
        <v>217</v>
      </c>
      <c r="C146" s="50">
        <v>7</v>
      </c>
      <c r="D146" s="60">
        <v>28</v>
      </c>
      <c r="E146" s="51"/>
      <c r="F146" s="51"/>
      <c r="G146" s="51"/>
      <c r="H146" s="51"/>
      <c r="I146" s="57">
        <f t="shared" si="5"/>
        <v>11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55</v>
      </c>
      <c r="B147" s="60">
        <v>244</v>
      </c>
      <c r="C147" s="50">
        <v>8</v>
      </c>
      <c r="D147" s="60">
        <v>28</v>
      </c>
      <c r="E147" s="51"/>
      <c r="F147" s="51"/>
      <c r="G147" s="51"/>
      <c r="H147" s="51"/>
      <c r="I147" s="57">
        <f>IF(A147&lt;&gt;0,(B147-(B146-D146))/(A147-A146),"")</f>
        <v>11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60</v>
      </c>
      <c r="B148" s="60">
        <v>270</v>
      </c>
      <c r="C148" s="50">
        <v>9</v>
      </c>
      <c r="D148" s="60">
        <v>28</v>
      </c>
      <c r="E148" s="51"/>
      <c r="F148" s="51"/>
      <c r="G148" s="51"/>
      <c r="H148" s="51"/>
      <c r="I148" s="57">
        <f t="shared" si="5"/>
        <v>10.8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65</v>
      </c>
      <c r="B149" s="60">
        <v>294</v>
      </c>
      <c r="C149" s="50">
        <v>10</v>
      </c>
      <c r="D149" s="60">
        <v>28</v>
      </c>
      <c r="E149" s="51"/>
      <c r="F149" s="51"/>
      <c r="G149" s="51"/>
      <c r="H149" s="51"/>
      <c r="I149" s="57">
        <f t="shared" si="5"/>
        <v>10.4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70</v>
      </c>
      <c r="B150" s="60">
        <v>316</v>
      </c>
      <c r="C150" s="50"/>
      <c r="D150" s="60">
        <v>316</v>
      </c>
      <c r="E150" s="51"/>
      <c r="F150" s="51"/>
      <c r="G150" s="51"/>
      <c r="H150" s="51"/>
      <c r="I150" s="57">
        <f t="shared" si="5"/>
        <v>10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Douglas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15</v>
      </c>
      <c r="B166" s="60">
        <v>189</v>
      </c>
      <c r="C166" s="60">
        <v>1</v>
      </c>
      <c r="D166" s="60">
        <v>0</v>
      </c>
      <c r="E166" s="51"/>
      <c r="F166" s="51"/>
      <c r="G166" s="51"/>
      <c r="H166" s="51"/>
      <c r="I166" s="49">
        <f>IFERROR(B166/A166,"")</f>
        <v>12.6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v>331</v>
      </c>
      <c r="C167" s="60">
        <v>2</v>
      </c>
      <c r="D167" s="60">
        <v>11</v>
      </c>
      <c r="E167" s="51"/>
      <c r="F167" s="51">
        <v>0.4</v>
      </c>
      <c r="G167" s="51">
        <v>0.6</v>
      </c>
      <c r="H167" s="51"/>
      <c r="I167" s="49">
        <f t="shared" ref="I167:I185" si="6">IF(A167&lt;&gt;0,(B167-(B166-D166))/(A167-A166),"")</f>
        <v>28.4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25</v>
      </c>
      <c r="B168" s="60">
        <v>469</v>
      </c>
      <c r="C168" s="60">
        <v>3</v>
      </c>
      <c r="D168" s="60">
        <v>46</v>
      </c>
      <c r="E168" s="51"/>
      <c r="F168" s="51">
        <v>0.4</v>
      </c>
      <c r="G168" s="51">
        <v>0.6</v>
      </c>
      <c r="H168" s="51"/>
      <c r="I168" s="49">
        <f t="shared" si="6"/>
        <v>29.8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30</v>
      </c>
      <c r="B169" s="60">
        <v>560</v>
      </c>
      <c r="C169" s="60">
        <v>4</v>
      </c>
      <c r="D169" s="60">
        <v>67</v>
      </c>
      <c r="E169" s="51">
        <v>0.2</v>
      </c>
      <c r="F169" s="51">
        <v>0.6</v>
      </c>
      <c r="G169" s="51">
        <v>0.2</v>
      </c>
      <c r="H169" s="51"/>
      <c r="I169" s="49">
        <f t="shared" si="6"/>
        <v>27.4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35</v>
      </c>
      <c r="B170" s="60">
        <v>616</v>
      </c>
      <c r="C170" s="60">
        <v>5</v>
      </c>
      <c r="D170" s="60">
        <v>72</v>
      </c>
      <c r="E170" s="51"/>
      <c r="F170" s="51"/>
      <c r="G170" s="51"/>
      <c r="H170" s="51"/>
      <c r="I170" s="49">
        <f t="shared" si="6"/>
        <v>24.6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40</v>
      </c>
      <c r="B171" s="60">
        <v>654</v>
      </c>
      <c r="C171" s="60">
        <v>6</v>
      </c>
      <c r="D171" s="60">
        <v>79</v>
      </c>
      <c r="E171" s="51"/>
      <c r="F171" s="51"/>
      <c r="G171" s="51"/>
      <c r="H171" s="51"/>
      <c r="I171" s="49">
        <f t="shared" si="6"/>
        <v>22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45</v>
      </c>
      <c r="B172" s="60">
        <v>677</v>
      </c>
      <c r="C172" s="60">
        <v>7</v>
      </c>
      <c r="D172" s="60">
        <v>82</v>
      </c>
      <c r="E172" s="51"/>
      <c r="F172" s="51"/>
      <c r="G172" s="51"/>
      <c r="H172" s="51"/>
      <c r="I172" s="49">
        <f t="shared" si="6"/>
        <v>20.399999999999999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50</v>
      </c>
      <c r="B173" s="50">
        <v>691</v>
      </c>
      <c r="C173" s="60">
        <v>8</v>
      </c>
      <c r="D173" s="50">
        <v>75</v>
      </c>
      <c r="E173" s="51"/>
      <c r="F173" s="51"/>
      <c r="G173" s="51"/>
      <c r="H173" s="51"/>
      <c r="I173" s="49">
        <f t="shared" si="6"/>
        <v>19.2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55</v>
      </c>
      <c r="B174" s="50">
        <v>705</v>
      </c>
      <c r="C174" s="60">
        <v>9</v>
      </c>
      <c r="D174" s="50">
        <v>66</v>
      </c>
      <c r="E174" s="51"/>
      <c r="F174" s="51"/>
      <c r="G174" s="51"/>
      <c r="H174" s="51"/>
      <c r="I174" s="49">
        <f t="shared" si="6"/>
        <v>17.8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60</v>
      </c>
      <c r="B175" s="50">
        <v>723</v>
      </c>
      <c r="C175" s="50"/>
      <c r="D175" s="50">
        <v>723</v>
      </c>
      <c r="E175" s="51"/>
      <c r="F175" s="51"/>
      <c r="G175" s="51"/>
      <c r="H175" s="51"/>
      <c r="I175" s="49">
        <f t="shared" si="6"/>
        <v>16.8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 rouge d'Amérique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56</v>
      </c>
      <c r="C192" s="60">
        <v>0</v>
      </c>
      <c r="D192" s="60">
        <v>0</v>
      </c>
      <c r="E192" s="51"/>
      <c r="F192" s="51"/>
      <c r="G192" s="51"/>
      <c r="H192" s="51">
        <v>1</v>
      </c>
      <c r="I192" s="49">
        <f>IFERROR(B192/A192,"")</f>
        <v>2.8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25</v>
      </c>
      <c r="B193" s="60">
        <v>111</v>
      </c>
      <c r="C193" s="60">
        <v>1</v>
      </c>
      <c r="D193" s="60">
        <v>26</v>
      </c>
      <c r="E193" s="51">
        <v>0.1</v>
      </c>
      <c r="F193" s="51">
        <v>0.4</v>
      </c>
      <c r="G193" s="51"/>
      <c r="H193" s="51">
        <v>0.5</v>
      </c>
      <c r="I193" s="49">
        <f t="shared" ref="I193:I211" si="7">IF(A193&lt;&gt;0,(B193-(B192-D192))/(A193-A192),"")</f>
        <v>11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30</v>
      </c>
      <c r="B194" s="60">
        <v>146</v>
      </c>
      <c r="C194" s="60">
        <v>2</v>
      </c>
      <c r="D194" s="60">
        <v>35</v>
      </c>
      <c r="E194" s="51">
        <v>0.1</v>
      </c>
      <c r="F194" s="51">
        <v>0.5</v>
      </c>
      <c r="G194" s="51"/>
      <c r="H194" s="51">
        <v>0.4</v>
      </c>
      <c r="I194" s="49">
        <f t="shared" si="7"/>
        <v>12.2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35</v>
      </c>
      <c r="B195" s="60">
        <v>175</v>
      </c>
      <c r="C195" s="60">
        <v>3</v>
      </c>
      <c r="D195" s="60">
        <v>35</v>
      </c>
      <c r="E195" s="51">
        <v>0.2</v>
      </c>
      <c r="F195" s="51">
        <v>0.4</v>
      </c>
      <c r="G195" s="51"/>
      <c r="H195" s="51">
        <v>0.4</v>
      </c>
      <c r="I195" s="49">
        <f t="shared" si="7"/>
        <v>12.8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40</v>
      </c>
      <c r="B196" s="60">
        <v>207</v>
      </c>
      <c r="C196" s="60">
        <v>4</v>
      </c>
      <c r="D196" s="60">
        <v>35</v>
      </c>
      <c r="E196" s="51"/>
      <c r="F196" s="51"/>
      <c r="G196" s="51"/>
      <c r="H196" s="51"/>
      <c r="I196" s="49">
        <f t="shared" si="7"/>
        <v>13.4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45</v>
      </c>
      <c r="B197" s="60">
        <v>241</v>
      </c>
      <c r="C197" s="60">
        <v>5</v>
      </c>
      <c r="D197" s="60">
        <v>35</v>
      </c>
      <c r="E197" s="51"/>
      <c r="F197" s="51"/>
      <c r="G197" s="51"/>
      <c r="H197" s="51"/>
      <c r="I197" s="49">
        <f t="shared" si="7"/>
        <v>13.8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50</v>
      </c>
      <c r="B198" s="60">
        <v>274</v>
      </c>
      <c r="C198" s="60">
        <v>6</v>
      </c>
      <c r="D198" s="60">
        <v>35</v>
      </c>
      <c r="E198" s="51"/>
      <c r="F198" s="51"/>
      <c r="G198" s="51"/>
      <c r="H198" s="51"/>
      <c r="I198" s="49">
        <f t="shared" si="7"/>
        <v>13.6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55</v>
      </c>
      <c r="B199" s="50">
        <v>306</v>
      </c>
      <c r="C199" s="60"/>
      <c r="D199" s="50">
        <v>306</v>
      </c>
      <c r="E199" s="51"/>
      <c r="F199" s="51"/>
      <c r="G199" s="51"/>
      <c r="H199" s="51"/>
      <c r="I199" s="49">
        <f t="shared" si="7"/>
        <v>13.4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5" sqref="F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Châtaignier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sycomore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Hêtre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Douglas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rouge d'Amérique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193.60868637458515</v>
      </c>
      <c r="T3" s="59">
        <f>IF('Données projet'!E9&gt;30,$R$33-$H$33,LOOKUP('Données projet'!$E$9,$A$3:$A$203,R3:R203)-LOOKUP('Données projet'!$E$9,$A$3:$A$203,$H$3:$H$203))</f>
        <v>272.97841038165217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281.79835088425858</v>
      </c>
      <c r="AO3" s="59">
        <f>IF('Données projet'!E10&gt;30,$AM$33-$H$33,LOOKUP('Données projet'!$E$10,$A$3:$A$203,AM3:AM203)-LOOKUP('Données projet'!$E$10,$A$3:$A$203,$H$3:$H$203))</f>
        <v>345.4750813433123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343.6089004382095</v>
      </c>
      <c r="BJ3" s="59">
        <f>IF('Données projet'!E11&gt;30,$BH$33-$H$33,LOOKUP('Données projet'!$E$11,$A$3:$A$203,BH3:BH203)-LOOKUP('Données projet'!$E$11,$A$3:$A$203,$H$3:$H$203))</f>
        <v>278.21741231699929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288.82868507674738</v>
      </c>
      <c r="CE3" s="59">
        <f>IF('Données projet'!E12&gt;30,$CC$33-$H$33,LOOKUP('Données projet'!$E$12,$A$3:$A$203,CC3:CC203)-LOOKUP('Données projet'!$E$12,$A$3:$A$203,$H$3:$H$203))</f>
        <v>283.48738729114024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273.73158910361786</v>
      </c>
      <c r="CZ3" s="59">
        <f>IF('Données projet'!E13&gt;30,$CX$33-$H$33,LOOKUP('Données projet'!$E$13,$A$3:$A$203,CX3:CX203)-LOOKUP('Données projet'!$E$13,$A$3:$A$203,$H$3:$H$203))</f>
        <v>256.77417912163997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534.78683721545372</v>
      </c>
      <c r="DU3" s="59">
        <f>IF('Données projet'!E14&gt;30,$DS$33-$H$33,LOOKUP('Données projet'!$E$14,$A$3:$A$203,DS3:DS203)-LOOKUP('Données projet'!$E$14,$A$3:$A$203,$H$3:$H$203))</f>
        <v>710.59298755711075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255.2813753128475</v>
      </c>
      <c r="EP3" s="59">
        <f>IF('Données projet'!E15&gt;30,$EN$33-$H$33,LOOKUP('Données projet'!$E$15,$A$3:$A$203,EN3:EN203)-LOOKUP('Données projet'!$E$15,$A$3:$A$203,$H$3:$H$203))</f>
        <v>317.03005098025352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1.2229519710813024</v>
      </c>
      <c r="O4" s="13">
        <f>N4*VLOOKUP('Données projet'!$B$9,Paramètres!$A$1:$I$89,3,0)*VLOOKUP('Données projet'!$B$9,Paramètres!$A$1:$I$89,5,0)</f>
        <v>0.89666838519681091</v>
      </c>
      <c r="P4" s="13">
        <f>EXP(-1.0587+0.8836*LN(O4)+0.284)</f>
        <v>0.41850203514861517</v>
      </c>
      <c r="Q4" s="20">
        <f t="shared" ref="Q4:Q34" si="2">(O4+P4)*0.475*44/12</f>
        <v>2.2905884821016174</v>
      </c>
      <c r="R4" s="59">
        <f t="shared" si="0"/>
        <v>260.17947737099047</v>
      </c>
      <c r="S4" s="59">
        <f ca="1">AVERAGE(OFFSET($R$3,0,0,'Données projet'!$E$9+1,1))-AVERAGE(OFFSET($H$3,0,0,'Données projet'!$E$9+1,1))</f>
        <v>193.60868637458515</v>
      </c>
      <c r="T4" s="59">
        <f>$T$3</f>
        <v>272.97841038165217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1.0111929730611879</v>
      </c>
      <c r="AK4" s="13">
        <f>EXP(-1.0587+0.8836*LN(AJ4)+0.284)</f>
        <v>0.46539683474213156</v>
      </c>
      <c r="AL4" s="20">
        <f t="shared" ref="AL4:AL67" si="4">(AJ4+AK4)*0.475*44/12</f>
        <v>2.5717272485907814</v>
      </c>
      <c r="AM4" s="59">
        <f t="shared" ref="AM4:AM67" si="5">AL4+(AD4+AE4)*44/12</f>
        <v>260.46061613747963</v>
      </c>
      <c r="AN4" s="59">
        <f ca="1">AVERAGE(OFFSET($AM$3,0,0,'Données projet'!$E$10+1,1))-AVERAGE(OFFSET($H$3,0,0,'Données projet'!$E$10+1,1))</f>
        <v>281.79835088425858</v>
      </c>
      <c r="AO4" s="59">
        <f>$AO$3</f>
        <v>345.4750813433123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260.72987866106189</v>
      </c>
      <c r="BI4" s="59">
        <f ca="1">AVERAGE(OFFSET($BH$3,0,0,'Données projet'!$E$11+1,1))-AVERAGE(OFFSET($H$3,0,0,'Données projet'!$E$11+1,1))</f>
        <v>343.6089004382095</v>
      </c>
      <c r="BJ4" s="59">
        <f>$BJ$3</f>
        <v>278.21741231699929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2.6666666666666665</v>
      </c>
      <c r="BY4" s="12">
        <f>IF('Données projet'!$A$114&gt;35,BY3+BX4-CG3,IF(A4&lt;'Données projet'!$A$114,$BV$205^A4,IF(A4='Données projet'!$A$114,'Données projet'!$B$114,BY3+BX4-CG3)))</f>
        <v>1.2788040393997409</v>
      </c>
      <c r="BZ4" s="13">
        <f>BY4*VLOOKUP('Données projet'!$B$12,Paramètres!$A$1:$I$89,3,0)*VLOOKUP('Données projet'!$B$12,Paramètres!$A$1:$I$89,5,0)</f>
        <v>0.99746715073179792</v>
      </c>
      <c r="CA4" s="13">
        <f>EXP(-1.0587+0.8836*LN(BZ4)+0.284)</f>
        <v>0.45981048445793882</v>
      </c>
      <c r="CB4" s="20">
        <f t="shared" ref="CB4:CB67" si="10">(BZ4+CA4)*0.475*44/12</f>
        <v>2.5380918812887914</v>
      </c>
      <c r="CC4" s="59">
        <f t="shared" ref="CC4:CC67" si="11">CB4+(BT4+BU4)*44/12</f>
        <v>260.42698077017764</v>
      </c>
      <c r="CD4" s="59">
        <f ca="1">AVERAGE(OFFSET($CC$3,0,0,'Données projet'!$E$12+1,1))-AVERAGE(OFFSET($H$3,0,0,'Données projet'!$E$12+1,1))</f>
        <v>288.82868507674738</v>
      </c>
      <c r="CE4" s="59">
        <f>$CE$3</f>
        <v>283.48738729114024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1.6</v>
      </c>
      <c r="CT4" s="12">
        <f>IF('Données projet'!$A$140&gt;35,CT3+CS4-DB3,IF(A4&lt;'Données projet'!$A$140,$CQ$205^A4,IF(A4='Données projet'!$A$140,'Données projet'!$B$140,CT3+CS4-DB3)))</f>
        <v>1.189207115002721</v>
      </c>
      <c r="CU4" s="17">
        <f>CT4*VLOOKUP('Données projet'!$B$13,Paramètres!$A$1:$I$89,3,0)*VLOOKUP('Données projet'!$B$13,Paramètres!$A$1:$I$89,5,0)</f>
        <v>1.0203397046723348</v>
      </c>
      <c r="CV4" s="13">
        <f>EXP(-1.0587+0.8836*LN(CU4)+0.284)</f>
        <v>0.46911460970544039</v>
      </c>
      <c r="CW4" s="20">
        <f t="shared" ref="CW4:CW67" si="13">(CU4+CV4)*0.475*44/12</f>
        <v>2.594132930874625</v>
      </c>
      <c r="CX4" s="59">
        <f t="shared" ref="CX4:CX67" si="14">CW4+(CO4+CP4)*44/12</f>
        <v>260.48302181976351</v>
      </c>
      <c r="CY4" s="59">
        <f ca="1">AVERAGE(OFFSET($CX$3,0,0,'Données projet'!$E$13+1,1))-AVERAGE(OFFSET($H$3,0,0,'Données projet'!$E$13+1,1))</f>
        <v>273.73158910361786</v>
      </c>
      <c r="CZ4" s="59">
        <f>$CZ$3</f>
        <v>256.77417912163997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12.6</v>
      </c>
      <c r="DO4" s="12">
        <f>IF('Données projet'!$A$166&gt;35,DO3+DN4-DW3,IF(A4&lt;'Données projet'!$A$166,$DL$205^A4,IF(A4='Données projet'!$A$166,'Données projet'!$B$166,DO3+DN4-DW3)))</f>
        <v>1.418286993802653</v>
      </c>
      <c r="DP4" s="17">
        <f>DO4*VLOOKUP('Données projet'!$B$14,Paramètres!$A$1:$I$89,3,0)*VLOOKUP('Données projet'!$B$14,Paramètres!$A$1:$I$89,5,0)</f>
        <v>0.79282242953568305</v>
      </c>
      <c r="DQ4" s="13">
        <f>EXP(-1.0587+0.8836*LN(DP4)+0.284)</f>
        <v>0.37537376382346138</v>
      </c>
      <c r="DR4" s="20">
        <f t="shared" ref="DR4:DR67" si="16">(DP4+DQ4)*0.475*44/12</f>
        <v>2.0346083701005098</v>
      </c>
      <c r="DS4" s="59">
        <f t="shared" ref="DS4:DS67" si="17">DR4+(DJ4+DK4)*44/12</f>
        <v>259.92349725898936</v>
      </c>
      <c r="DT4" s="59">
        <f ca="1">AVERAGE(OFFSET($DS$3,0,0,'Données projet'!$E$14+1,1))-AVERAGE(OFFSET($H$3,0,0,'Données projet'!$E$14+1,1))</f>
        <v>534.78683721545372</v>
      </c>
      <c r="DU4" s="59">
        <f>$DU$3</f>
        <v>710.59298755711075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2.8</v>
      </c>
      <c r="EJ4" s="12">
        <f>IF('Données projet'!$A$192&gt;35,EJ3+EI4-ER3,IF(A4&lt;'Données projet'!$A$192,$EG$205^A4,IF(A4='Données projet'!$A$192,'Données projet'!$B$192,EJ3+EI4-ER3)))</f>
        <v>1.2229519710813024</v>
      </c>
      <c r="EK4" s="17">
        <f>EJ4*VLOOKUP('Données projet'!$B$15,Paramètres!$A$1:$I$89,3,0)*VLOOKUP('Données projet'!$B$15,Paramètres!$A$1:$I$89,5,0)</f>
        <v>1.068370841936626</v>
      </c>
      <c r="EL4" s="13">
        <f>EXP(-1.0587+0.8836*LN(EK4)+0.284)</f>
        <v>0.48857455785144804</v>
      </c>
      <c r="EM4" s="20">
        <f t="shared" ref="EM4:EM67" si="19">(EK4+EL4)*0.475*44/12</f>
        <v>2.7116799046308953</v>
      </c>
      <c r="EN4" s="59">
        <f t="shared" ref="EN4:EN67" si="20">EM4+(EE4+EF4)*44/12</f>
        <v>260.60056879351976</v>
      </c>
      <c r="EO4" s="59">
        <f ca="1">AVERAGE(OFFSET($EN$3,0,0,'Données projet'!$E$15+1,1))-AVERAGE(OFFSET($H$3,0,0,'Données projet'!$E$15+1,1))</f>
        <v>255.2813753128475</v>
      </c>
      <c r="EP4" s="59">
        <f>$EP$3</f>
        <v>317.03005098025352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1.4956115235716427</v>
      </c>
      <c r="O5" s="13">
        <f>N5*VLOOKUP('Données projet'!$B$9,Paramètres!$A$1:$I$89,3,0)*VLOOKUP('Données projet'!$B$9,Paramètres!$A$1:$I$89,5,0)</f>
        <v>1.0965823690827283</v>
      </c>
      <c r="P5" s="13">
        <f t="shared" ref="P5:P68" si="33">EXP(-1.0587+0.8836*LN(O5)+0.284)</f>
        <v>0.49995684793813105</v>
      </c>
      <c r="Q5" s="20">
        <f t="shared" si="2"/>
        <v>2.7806391363113296</v>
      </c>
      <c r="R5" s="59">
        <f t="shared" si="0"/>
        <v>261.89175024742246</v>
      </c>
      <c r="S5" s="59">
        <f ca="1">AVERAGE(OFFSET($R$3,0,0,'Données projet'!$E$9+1,1))-AVERAGE(OFFSET($H$3,0,0,'Données projet'!$E$9+1,1))</f>
        <v>193.60868637458515</v>
      </c>
      <c r="T5" s="59">
        <f t="shared" ref="T5:T68" si="34">$T$3</f>
        <v>272.97841038165217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1.2852076781904531</v>
      </c>
      <c r="AK5" s="13">
        <f t="shared" ref="AK5:AK68" si="35">EXP(-1.0587+0.8836*LN(AJ5)+0.284)</f>
        <v>0.57522914588482876</v>
      </c>
      <c r="AL5" s="20">
        <f t="shared" si="4"/>
        <v>3.2402608019311159</v>
      </c>
      <c r="AM5" s="59">
        <f t="shared" si="5"/>
        <v>262.35137191304227</v>
      </c>
      <c r="AN5" s="59">
        <f ca="1">AVERAGE(OFFSET($AM$3,0,0,'Données projet'!$E$10+1,1))-AVERAGE(OFFSET($H$3,0,0,'Données projet'!$E$10+1,1))</f>
        <v>281.79835088425858</v>
      </c>
      <c r="AO5" s="59">
        <f t="shared" ref="AO5:AO68" si="36">$AO$3</f>
        <v>345.4750813433123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262.60472488787678</v>
      </c>
      <c r="BI5" s="59">
        <f ca="1">AVERAGE(OFFSET($BH$3,0,0,'Données projet'!$E$11+1,1))-AVERAGE(OFFSET($H$3,0,0,'Données projet'!$E$11+1,1))</f>
        <v>343.6089004382095</v>
      </c>
      <c r="BJ5" s="59">
        <f t="shared" ref="BJ5:BJ68" si="38">$BJ$3</f>
        <v>278.21741231699929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2.6666666666666665</v>
      </c>
      <c r="BY5" s="12">
        <f>IF('Données projet'!$A$114&gt;35,BY4+BX5-CG4,IF(A5&lt;'Données projet'!$A$114,$BV$205^A5,IF(A5='Données projet'!$A$114,'Données projet'!$B$114,BY4+BX5-CG4)))</f>
        <v>1.6353397711850939</v>
      </c>
      <c r="BZ5" s="13">
        <f>BY5*VLOOKUP('Données projet'!$B$12,Paramètres!$A$1:$I$89,3,0)*VLOOKUP('Données projet'!$B$12,Paramètres!$A$1:$I$89,5,0)</f>
        <v>1.2755650215243732</v>
      </c>
      <c r="CA5" s="13">
        <f t="shared" ref="CA5:CA68" si="39">EXP(-1.0587+0.8836*LN(BZ5)+0.284)</f>
        <v>0.57141400910743001</v>
      </c>
      <c r="CB5" s="20">
        <f t="shared" si="10"/>
        <v>3.2168218116837237</v>
      </c>
      <c r="CC5" s="59">
        <f t="shared" si="11"/>
        <v>262.32793292279484</v>
      </c>
      <c r="CD5" s="59">
        <f ca="1">AVERAGE(OFFSET($CC$3,0,0,'Données projet'!$E$12+1,1))-AVERAGE(OFFSET($H$3,0,0,'Données projet'!$E$12+1,1))</f>
        <v>288.82868507674738</v>
      </c>
      <c r="CE5" s="59">
        <f t="shared" ref="CE5:CE68" si="40">$CE$3</f>
        <v>283.48738729114024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1.6</v>
      </c>
      <c r="CT5" s="12">
        <f>IF('Données projet'!$A$140&gt;35,CT4+CS5-DB4,IF(A5&lt;'Données projet'!$A$140,$CQ$205^A5,IF(A5='Données projet'!$A$140,'Données projet'!$B$140,CT4+CS5-DB4)))</f>
        <v>1.4142135623730949</v>
      </c>
      <c r="CU5" s="17">
        <f>CT5*VLOOKUP('Données projet'!$B$13,Paramètres!$A$1:$I$89,3,0)*VLOOKUP('Données projet'!$B$13,Paramètres!$A$1:$I$89,5,0)</f>
        <v>1.2133952365161156</v>
      </c>
      <c r="CV5" s="13">
        <f t="shared" ref="CV5:CV68" si="41">EXP(-1.0587+0.8836*LN(CU5)+0.284)</f>
        <v>0.54673450619692521</v>
      </c>
      <c r="CW5" s="20">
        <f t="shared" si="13"/>
        <v>3.0655593018918794</v>
      </c>
      <c r="CX5" s="59">
        <f t="shared" si="14"/>
        <v>262.17667041300302</v>
      </c>
      <c r="CY5" s="59">
        <f ca="1">AVERAGE(OFFSET($CX$3,0,0,'Données projet'!$E$13+1,1))-AVERAGE(OFFSET($H$3,0,0,'Données projet'!$E$13+1,1))</f>
        <v>273.73158910361786</v>
      </c>
      <c r="CZ5" s="59">
        <f t="shared" ref="CZ5:CZ68" si="42">$CZ$3</f>
        <v>256.77417912163997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12.6</v>
      </c>
      <c r="DO5" s="12">
        <f>IF('Données projet'!$A$166&gt;35,DO4+DN5-DW4,IF(A5&lt;'Données projet'!$A$166,$DL$205^A5,IF(A5='Données projet'!$A$166,'Données projet'!$B$166,DO4+DN5-DW4)))</f>
        <v>2.0115379967897669</v>
      </c>
      <c r="DP5" s="17">
        <f>DO5*VLOOKUP('Données projet'!$B$14,Paramètres!$A$1:$I$89,3,0)*VLOOKUP('Données projet'!$B$14,Paramètres!$A$1:$I$89,5,0)</f>
        <v>1.1244497402054798</v>
      </c>
      <c r="DQ5" s="13">
        <f t="shared" ref="DQ5:DQ68" si="43">EXP(-1.0587+0.8836*LN(DP5)+0.284)</f>
        <v>0.51116686213755136</v>
      </c>
      <c r="DR5" s="20">
        <f t="shared" si="16"/>
        <v>2.848698915747446</v>
      </c>
      <c r="DS5" s="59">
        <f t="shared" si="17"/>
        <v>261.95981002685858</v>
      </c>
      <c r="DT5" s="59">
        <f ca="1">AVERAGE(OFFSET($DS$3,0,0,'Données projet'!$E$14+1,1))-AVERAGE(OFFSET($H$3,0,0,'Données projet'!$E$14+1,1))</f>
        <v>534.78683721545372</v>
      </c>
      <c r="DU5" s="59">
        <f t="shared" ref="DU5:DU68" si="44">$DU$3</f>
        <v>710.59298755711075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2.8</v>
      </c>
      <c r="EJ5" s="12">
        <f>IF('Données projet'!$A$192&gt;35,EJ4+EI5-ER4,IF(A5&lt;'Données projet'!$A$192,$EG$205^A5,IF(A5='Données projet'!$A$192,'Données projet'!$B$192,EJ4+EI5-ER4)))</f>
        <v>1.4956115235716427</v>
      </c>
      <c r="EK5" s="17">
        <f>EJ5*VLOOKUP('Données projet'!$B$15,Paramètres!$A$1:$I$89,3,0)*VLOOKUP('Données projet'!$B$15,Paramètres!$A$1:$I$89,5,0)</f>
        <v>1.3065662269921872</v>
      </c>
      <c r="EL5" s="13">
        <f t="shared" ref="EL5:EL68" si="45">EXP(-1.0587+0.8836*LN(EK5)+0.284)</f>
        <v>0.58366788070560771</v>
      </c>
      <c r="EM5" s="20">
        <f t="shared" si="19"/>
        <v>3.292157737573659</v>
      </c>
      <c r="EN5" s="59">
        <f t="shared" si="20"/>
        <v>262.40326884868477</v>
      </c>
      <c r="EO5" s="59">
        <f ca="1">AVERAGE(OFFSET($EN$3,0,0,'Données projet'!$E$15+1,1))-AVERAGE(OFFSET($H$3,0,0,'Données projet'!$E$15+1,1))</f>
        <v>255.2813753128475</v>
      </c>
      <c r="EP5" s="59">
        <f t="shared" ref="EP5:EP68" si="46">$EP$3</f>
        <v>317.03005098025352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1.8290610607238502</v>
      </c>
      <c r="O6" s="13">
        <f>N6*VLOOKUP('Données projet'!$B$9,Paramètres!$A$1:$I$89,3,0)*VLOOKUP('Données projet'!$B$9,Paramètres!$A$1:$I$89,5,0)</f>
        <v>1.341067569722727</v>
      </c>
      <c r="P6" s="13">
        <f t="shared" si="33"/>
        <v>0.5972655538257271</v>
      </c>
      <c r="Q6" s="20">
        <f t="shared" si="2"/>
        <v>3.3759301901802239</v>
      </c>
      <c r="R6" s="59">
        <f t="shared" si="0"/>
        <v>263.70926352351353</v>
      </c>
      <c r="S6" s="59">
        <f ca="1">AVERAGE(OFFSET($R$3,0,0,'Données projet'!$E$9+1,1))-AVERAGE(OFFSET($H$3,0,0,'Données projet'!$E$9+1,1))</f>
        <v>193.60868637458515</v>
      </c>
      <c r="T6" s="59">
        <f t="shared" si="34"/>
        <v>272.97841038165217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1.6334753307069771</v>
      </c>
      <c r="AK6" s="13">
        <f t="shared" si="35"/>
        <v>0.71098156578295024</v>
      </c>
      <c r="AL6" s="20">
        <f t="shared" si="4"/>
        <v>4.0832624280532892</v>
      </c>
      <c r="AM6" s="59">
        <f t="shared" si="5"/>
        <v>264.41659576138659</v>
      </c>
      <c r="AN6" s="59">
        <f ca="1">AVERAGE(OFFSET($AM$3,0,0,'Données projet'!$E$10+1,1))-AVERAGE(OFFSET($H$3,0,0,'Données projet'!$E$10+1,1))</f>
        <v>281.79835088425858</v>
      </c>
      <c r="AO6" s="59">
        <f t="shared" si="36"/>
        <v>345.4750813433123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264.63006022433916</v>
      </c>
      <c r="BI6" s="59">
        <f ca="1">AVERAGE(OFFSET($BH$3,0,0,'Données projet'!$E$11+1,1))-AVERAGE(OFFSET($H$3,0,0,'Données projet'!$E$11+1,1))</f>
        <v>343.6089004382095</v>
      </c>
      <c r="BJ6" s="59">
        <f t="shared" si="38"/>
        <v>278.21741231699929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2.6666666666666665</v>
      </c>
      <c r="BY6" s="12">
        <f>IF('Données projet'!$A$114&gt;35,BY5+BX6-CG5,IF(A6&lt;'Données projet'!$A$114,$BV$205^A6,IF(A6='Données projet'!$A$114,'Données projet'!$B$114,BY5+BX6-CG5)))</f>
        <v>2.0912791051825459</v>
      </c>
      <c r="BZ6" s="13">
        <f>BY6*VLOOKUP('Données projet'!$B$12,Paramètres!$A$1:$I$89,3,0)*VLOOKUP('Données projet'!$B$12,Paramètres!$A$1:$I$89,5,0)</f>
        <v>1.6311977020423858</v>
      </c>
      <c r="CA6" s="13">
        <f t="shared" si="39"/>
        <v>0.71010553443370616</v>
      </c>
      <c r="CB6" s="20">
        <f t="shared" si="10"/>
        <v>4.0777698035291934</v>
      </c>
      <c r="CC6" s="59">
        <f t="shared" si="11"/>
        <v>264.41110313686249</v>
      </c>
      <c r="CD6" s="59">
        <f ca="1">AVERAGE(OFFSET($CC$3,0,0,'Données projet'!$E$12+1,1))-AVERAGE(OFFSET($H$3,0,0,'Données projet'!$E$12+1,1))</f>
        <v>288.82868507674738</v>
      </c>
      <c r="CE6" s="59">
        <f t="shared" si="40"/>
        <v>283.48738729114024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1.6</v>
      </c>
      <c r="CT6" s="12">
        <f>IF('Données projet'!$A$140&gt;35,CT5+CS6-DB5,IF(A6&lt;'Données projet'!$A$140,$CQ$205^A6,IF(A6='Données projet'!$A$140,'Données projet'!$B$140,CT5+CS6-DB5)))</f>
        <v>1.6817928305074288</v>
      </c>
      <c r="CU6" s="17">
        <f>CT6*VLOOKUP('Données projet'!$B$13,Paramètres!$A$1:$I$89,3,0)*VLOOKUP('Données projet'!$B$13,Paramètres!$A$1:$I$89,5,0)</f>
        <v>1.4429782485753739</v>
      </c>
      <c r="CV6" s="13">
        <f t="shared" si="41"/>
        <v>0.6371974227238163</v>
      </c>
      <c r="CW6" s="20">
        <f t="shared" si="13"/>
        <v>3.6229726275127558</v>
      </c>
      <c r="CX6" s="59">
        <f t="shared" si="14"/>
        <v>263.95630596084607</v>
      </c>
      <c r="CY6" s="59">
        <f ca="1">AVERAGE(OFFSET($CX$3,0,0,'Données projet'!$E$13+1,1))-AVERAGE(OFFSET($H$3,0,0,'Données projet'!$E$13+1,1))</f>
        <v>273.73158910361786</v>
      </c>
      <c r="CZ6" s="59">
        <f t="shared" si="42"/>
        <v>256.77417912163997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12.6</v>
      </c>
      <c r="DO6" s="12">
        <f>IF('Données projet'!$A$166&gt;35,DO5+DN6-DW5,IF(A6&lt;'Données projet'!$A$166,$DL$205^A6,IF(A6='Données projet'!$A$166,'Données projet'!$B$166,DO5+DN6-DW5)))</f>
        <v>2.8529381783867689</v>
      </c>
      <c r="DP6" s="17">
        <f>DO6*VLOOKUP('Données projet'!$B$14,Paramètres!$A$1:$I$89,3,0)*VLOOKUP('Données projet'!$B$14,Paramètres!$A$1:$I$89,5,0)</f>
        <v>1.5947924417182038</v>
      </c>
      <c r="DQ6" s="13">
        <f t="shared" si="43"/>
        <v>0.69608370677295384</v>
      </c>
      <c r="DR6" s="20">
        <f t="shared" si="16"/>
        <v>3.9899426252887658</v>
      </c>
      <c r="DS6" s="59">
        <f t="shared" si="17"/>
        <v>264.32327595862211</v>
      </c>
      <c r="DT6" s="59">
        <f ca="1">AVERAGE(OFFSET($DS$3,0,0,'Données projet'!$E$14+1,1))-AVERAGE(OFFSET($H$3,0,0,'Données projet'!$E$14+1,1))</f>
        <v>534.78683721545372</v>
      </c>
      <c r="DU6" s="59">
        <f t="shared" si="44"/>
        <v>710.59298755711075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2.8</v>
      </c>
      <c r="EJ6" s="12">
        <f>IF('Données projet'!$A$192&gt;35,EJ5+EI6-ER5,IF(A6&lt;'Données projet'!$A$192,$EG$205^A6,IF(A6='Données projet'!$A$192,'Données projet'!$B$192,EJ5+EI6-ER5)))</f>
        <v>1.8290610607238502</v>
      </c>
      <c r="EK6" s="17">
        <f>EJ6*VLOOKUP('Données projet'!$B$15,Paramètres!$A$1:$I$89,3,0)*VLOOKUP('Données projet'!$B$15,Paramètres!$A$1:$I$89,5,0)</f>
        <v>1.5978677426483556</v>
      </c>
      <c r="EL6" s="13">
        <f t="shared" si="45"/>
        <v>0.69726961728317505</v>
      </c>
      <c r="EM6" s="20">
        <f t="shared" si="19"/>
        <v>3.9973642352140826</v>
      </c>
      <c r="EN6" s="59">
        <f t="shared" si="20"/>
        <v>264.33069756854741</v>
      </c>
      <c r="EO6" s="59">
        <f ca="1">AVERAGE(OFFSET($EN$3,0,0,'Données projet'!$E$15+1,1))-AVERAGE(OFFSET($H$3,0,0,'Données projet'!$E$15+1,1))</f>
        <v>255.2813753128475</v>
      </c>
      <c r="EP6" s="59">
        <f t="shared" si="46"/>
        <v>317.03005098025352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2.2368538294402907</v>
      </c>
      <c r="O7" s="13">
        <f>N7*VLOOKUP('Données projet'!$B$9,Paramètres!$A$1:$I$89,3,0)*VLOOKUP('Données projet'!$B$9,Paramètres!$A$1:$I$89,5,0)</f>
        <v>1.640061227745621</v>
      </c>
      <c r="P7" s="13">
        <f t="shared" si="33"/>
        <v>0.71351386276220552</v>
      </c>
      <c r="Q7" s="20">
        <f t="shared" si="2"/>
        <v>4.099143282634464</v>
      </c>
      <c r="R7" s="59">
        <f t="shared" si="0"/>
        <v>265.65469883819003</v>
      </c>
      <c r="S7" s="59">
        <f ca="1">AVERAGE(OFFSET($R$3,0,0,'Données projet'!$E$9+1,1))-AVERAGE(OFFSET($H$3,0,0,'Données projet'!$E$9+1,1))</f>
        <v>193.60868637458515</v>
      </c>
      <c r="T7" s="59">
        <f t="shared" si="34"/>
        <v>272.97841038165217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2.0761171142278725</v>
      </c>
      <c r="AK7" s="13">
        <f t="shared" si="35"/>
        <v>0.87877116536856548</v>
      </c>
      <c r="AL7" s="20">
        <f t="shared" si="4"/>
        <v>5.14643042029713</v>
      </c>
      <c r="AM7" s="59">
        <f t="shared" si="5"/>
        <v>266.70198597585266</v>
      </c>
      <c r="AN7" s="59">
        <f ca="1">AVERAGE(OFFSET($AM$3,0,0,'Données projet'!$E$10+1,1))-AVERAGE(OFFSET($H$3,0,0,'Données projet'!$E$10+1,1))</f>
        <v>281.79835088425858</v>
      </c>
      <c r="AO7" s="59">
        <f t="shared" si="36"/>
        <v>345.4750813433123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266.84071003350698</v>
      </c>
      <c r="BI7" s="59">
        <f ca="1">AVERAGE(OFFSET($BH$3,0,0,'Données projet'!$E$11+1,1))-AVERAGE(OFFSET($H$3,0,0,'Données projet'!$E$11+1,1))</f>
        <v>343.6089004382095</v>
      </c>
      <c r="BJ7" s="59">
        <f t="shared" si="38"/>
        <v>278.21741231699929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2.6666666666666665</v>
      </c>
      <c r="BY7" s="12">
        <f>IF('Données projet'!$A$114&gt;35,BY6+BX7-CG6,IF(A7&lt;'Données projet'!$A$114,$BV$205^A7,IF(A7='Données projet'!$A$114,'Données projet'!$B$114,BY6+BX7-CG6)))</f>
        <v>2.6743361672197152</v>
      </c>
      <c r="BZ7" s="13">
        <f>BY7*VLOOKUP('Données projet'!$B$12,Paramètres!$A$1:$I$89,3,0)*VLOOKUP('Données projet'!$B$12,Paramètres!$A$1:$I$89,5,0)</f>
        <v>2.0859822104313781</v>
      </c>
      <c r="CA7" s="13">
        <f t="shared" si="39"/>
        <v>0.88245976121767966</v>
      </c>
      <c r="CB7" s="20">
        <f t="shared" si="10"/>
        <v>5.1700364339554419</v>
      </c>
      <c r="CC7" s="59">
        <f t="shared" si="11"/>
        <v>266.72559198951097</v>
      </c>
      <c r="CD7" s="59">
        <f ca="1">AVERAGE(OFFSET($CC$3,0,0,'Données projet'!$E$12+1,1))-AVERAGE(OFFSET($H$3,0,0,'Données projet'!$E$12+1,1))</f>
        <v>288.82868507674738</v>
      </c>
      <c r="CE7" s="59">
        <f t="shared" si="40"/>
        <v>283.48738729114024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1.6</v>
      </c>
      <c r="CT7" s="12">
        <f>IF('Données projet'!$A$140&gt;35,CT6+CS7-DB6,IF(A7&lt;'Données projet'!$A$140,$CQ$205^A7,IF(A7='Données projet'!$A$140,'Données projet'!$B$140,CT6+CS7-DB6)))</f>
        <v>1.9999999999999996</v>
      </c>
      <c r="CU7" s="17">
        <f>CT7*VLOOKUP('Données projet'!$B$13,Paramètres!$A$1:$I$89,3,0)*VLOOKUP('Données projet'!$B$13,Paramètres!$A$1:$I$89,5,0)</f>
        <v>1.7159999999999997</v>
      </c>
      <c r="CV7" s="13">
        <f t="shared" si="41"/>
        <v>0.74262837066960552</v>
      </c>
      <c r="CW7" s="20">
        <f t="shared" si="13"/>
        <v>4.2821110789162296</v>
      </c>
      <c r="CX7" s="59">
        <f t="shared" si="14"/>
        <v>265.83766663447176</v>
      </c>
      <c r="CY7" s="59">
        <f ca="1">AVERAGE(OFFSET($CX$3,0,0,'Données projet'!$E$13+1,1))-AVERAGE(OFFSET($H$3,0,0,'Données projet'!$E$13+1,1))</f>
        <v>273.73158910361786</v>
      </c>
      <c r="CZ7" s="59">
        <f t="shared" si="42"/>
        <v>256.77417912163997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12.6</v>
      </c>
      <c r="DO7" s="12">
        <f>IF('Données projet'!$A$166&gt;35,DO6+DN7-DW6,IF(A7&lt;'Données projet'!$A$166,$DL$205^A7,IF(A7='Données projet'!$A$166,'Données projet'!$B$166,DO6+DN7-DW6)))</f>
        <v>4.046285112528988</v>
      </c>
      <c r="DP7" s="17">
        <f>DO7*VLOOKUP('Données projet'!$B$14,Paramètres!$A$1:$I$89,3,0)*VLOOKUP('Données projet'!$B$14,Paramètres!$A$1:$I$89,5,0)</f>
        <v>2.2618733779037044</v>
      </c>
      <c r="DQ7" s="13">
        <f t="shared" si="43"/>
        <v>0.94789502748398335</v>
      </c>
      <c r="DR7" s="20">
        <f t="shared" si="16"/>
        <v>5.5903466393835552</v>
      </c>
      <c r="DS7" s="59">
        <f t="shared" si="17"/>
        <v>267.14590219493908</v>
      </c>
      <c r="DT7" s="59">
        <f ca="1">AVERAGE(OFFSET($DS$3,0,0,'Données projet'!$E$14+1,1))-AVERAGE(OFFSET($H$3,0,0,'Données projet'!$E$14+1,1))</f>
        <v>534.78683721545372</v>
      </c>
      <c r="DU7" s="59">
        <f t="shared" si="44"/>
        <v>710.59298755711075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2.8</v>
      </c>
      <c r="EJ7" s="12">
        <f>IF('Données projet'!$A$192&gt;35,EJ6+EI7-ER6,IF(A7&lt;'Données projet'!$A$192,$EG$205^A7,IF(A7='Données projet'!$A$192,'Données projet'!$B$192,EJ6+EI7-ER6)))</f>
        <v>2.2368538294402907</v>
      </c>
      <c r="EK7" s="17">
        <f>EJ7*VLOOKUP('Données projet'!$B$15,Paramètres!$A$1:$I$89,3,0)*VLOOKUP('Données projet'!$B$15,Paramètres!$A$1:$I$89,5,0)</f>
        <v>1.9541155053990382</v>
      </c>
      <c r="EL7" s="13">
        <f t="shared" si="45"/>
        <v>0.83298213805849131</v>
      </c>
      <c r="EM7" s="20">
        <f t="shared" si="19"/>
        <v>4.8541950623551973</v>
      </c>
      <c r="EN7" s="59">
        <f t="shared" si="20"/>
        <v>266.40975061791073</v>
      </c>
      <c r="EO7" s="59">
        <f ca="1">AVERAGE(OFFSET($EN$3,0,0,'Données projet'!$E$15+1,1))-AVERAGE(OFFSET($H$3,0,0,'Données projet'!$E$15+1,1))</f>
        <v>255.2813753128475</v>
      </c>
      <c r="EP7" s="59">
        <f t="shared" si="46"/>
        <v>317.03005098025352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2.735564799734763</v>
      </c>
      <c r="O8" s="13">
        <f>N8*VLOOKUP('Données projet'!$B$9,Paramètres!$A$1:$I$89,3,0)*VLOOKUP('Données projet'!$B$9,Paramètres!$A$1:$I$89,5,0)</f>
        <v>2.0057161111655284</v>
      </c>
      <c r="P8" s="13">
        <f t="shared" si="33"/>
        <v>0.85238806941542067</v>
      </c>
      <c r="Q8" s="20">
        <f t="shared" si="2"/>
        <v>4.9778647811784866</v>
      </c>
      <c r="R8" s="59">
        <f t="shared" si="0"/>
        <v>267.75564255895625</v>
      </c>
      <c r="S8" s="59">
        <f ca="1">AVERAGE(OFFSET($R$3,0,0,'Données projet'!$E$9+1,1))-AVERAGE(OFFSET($H$3,0,0,'Données projet'!$E$9+1,1))</f>
        <v>193.60868637458515</v>
      </c>
      <c r="T8" s="59">
        <f t="shared" si="34"/>
        <v>272.97841038165217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2.6387066832067574</v>
      </c>
      <c r="AK8" s="13">
        <f t="shared" si="35"/>
        <v>1.0861586266766543</v>
      </c>
      <c r="AL8" s="20">
        <f t="shared" si="4"/>
        <v>6.4874737480469413</v>
      </c>
      <c r="AM8" s="59">
        <f t="shared" si="5"/>
        <v>269.26525152582474</v>
      </c>
      <c r="AN8" s="59">
        <f ca="1">AVERAGE(OFFSET($AM$3,0,0,'Données projet'!$E$10+1,1))-AVERAGE(OFFSET($H$3,0,0,'Données projet'!$E$10+1,1))</f>
        <v>281.79835088425858</v>
      </c>
      <c r="AO8" s="59">
        <f t="shared" si="36"/>
        <v>345.4750813433123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269.27958561684324</v>
      </c>
      <c r="BI8" s="59">
        <f ca="1">AVERAGE(OFFSET($BH$3,0,0,'Données projet'!$E$11+1,1))-AVERAGE(OFFSET($H$3,0,0,'Données projet'!$E$11+1,1))</f>
        <v>343.6089004382095</v>
      </c>
      <c r="BJ8" s="59">
        <f t="shared" si="38"/>
        <v>278.21741231699929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2.6666666666666665</v>
      </c>
      <c r="BY8" s="12">
        <f>IF('Données projet'!$A$114&gt;35,BY7+BX8-CG7,IF(A8&lt;'Données projet'!$A$114,$BV$205^A8,IF(A8='Données projet'!$A$114,'Données projet'!$B$114,BY7+BX8-CG7)))</f>
        <v>3.4199518933533928</v>
      </c>
      <c r="BZ8" s="13">
        <f>BY8*VLOOKUP('Données projet'!$B$12,Paramètres!$A$1:$I$89,3,0)*VLOOKUP('Données projet'!$B$12,Paramètres!$A$1:$I$89,5,0)</f>
        <v>2.6675624768156463</v>
      </c>
      <c r="CA8" s="13">
        <f t="shared" si="39"/>
        <v>1.0966471776471767</v>
      </c>
      <c r="CB8" s="20">
        <f t="shared" si="10"/>
        <v>6.5559984815227494</v>
      </c>
      <c r="CC8" s="59">
        <f t="shared" si="11"/>
        <v>269.33377625930052</v>
      </c>
      <c r="CD8" s="59">
        <f ca="1">AVERAGE(OFFSET($CC$3,0,0,'Données projet'!$E$12+1,1))-AVERAGE(OFFSET($H$3,0,0,'Données projet'!$E$12+1,1))</f>
        <v>288.82868507674738</v>
      </c>
      <c r="CE8" s="59">
        <f t="shared" si="40"/>
        <v>283.48738729114024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1.6</v>
      </c>
      <c r="CT8" s="12">
        <f>IF('Données projet'!$A$140&gt;35,CT7+CS8-DB7,IF(A8&lt;'Données projet'!$A$140,$CQ$205^A8,IF(A8='Données projet'!$A$140,'Données projet'!$B$140,CT7+CS8-DB7)))</f>
        <v>2.3784142300054416</v>
      </c>
      <c r="CU8" s="17">
        <f>CT8*VLOOKUP('Données projet'!$B$13,Paramètres!$A$1:$I$89,3,0)*VLOOKUP('Données projet'!$B$13,Paramètres!$A$1:$I$89,5,0)</f>
        <v>2.0406794093446692</v>
      </c>
      <c r="CV8" s="13">
        <f t="shared" si="41"/>
        <v>0.86550396667632346</v>
      </c>
      <c r="CW8" s="20">
        <f t="shared" si="13"/>
        <v>5.061602713236562</v>
      </c>
      <c r="CX8" s="59">
        <f t="shared" si="14"/>
        <v>267.83938049101431</v>
      </c>
      <c r="CY8" s="59">
        <f ca="1">AVERAGE(OFFSET($CX$3,0,0,'Données projet'!$E$13+1,1))-AVERAGE(OFFSET($H$3,0,0,'Données projet'!$E$13+1,1))</f>
        <v>273.73158910361786</v>
      </c>
      <c r="CZ8" s="59">
        <f t="shared" si="42"/>
        <v>256.77417912163997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12.6</v>
      </c>
      <c r="DO8" s="12">
        <f>IF('Données projet'!$A$166&gt;35,DO7+DN8-DW7,IF(A8&lt;'Données projet'!$A$166,$DL$205^A8,IF(A8='Données projet'!$A$166,'Données projet'!$B$166,DO7+DN8-DW7)))</f>
        <v>5.7387935483171679</v>
      </c>
      <c r="DP8" s="17">
        <f>DO8*VLOOKUP('Données projet'!$B$14,Paramètres!$A$1:$I$89,3,0)*VLOOKUP('Données projet'!$B$14,Paramètres!$A$1:$I$89,5,0)</f>
        <v>3.2079855935092971</v>
      </c>
      <c r="DQ8" s="13">
        <f t="shared" si="43"/>
        <v>1.2908001931180566</v>
      </c>
      <c r="DR8" s="20">
        <f t="shared" si="16"/>
        <v>7.83538524504264</v>
      </c>
      <c r="DS8" s="59">
        <f t="shared" si="17"/>
        <v>270.6131630228204</v>
      </c>
      <c r="DT8" s="59">
        <f ca="1">AVERAGE(OFFSET($DS$3,0,0,'Données projet'!$E$14+1,1))-AVERAGE(OFFSET($H$3,0,0,'Données projet'!$E$14+1,1))</f>
        <v>534.78683721545372</v>
      </c>
      <c r="DU8" s="59">
        <f t="shared" si="44"/>
        <v>710.59298755711075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2.8</v>
      </c>
      <c r="EJ8" s="12">
        <f>IF('Données projet'!$A$192&gt;35,EJ7+EI8-ER7,IF(A8&lt;'Données projet'!$A$192,$EG$205^A8,IF(A8='Données projet'!$A$192,'Données projet'!$B$192,EJ7+EI8-ER7)))</f>
        <v>2.735564799734763</v>
      </c>
      <c r="EK8" s="17">
        <f>EJ8*VLOOKUP('Données projet'!$B$15,Paramètres!$A$1:$I$89,3,0)*VLOOKUP('Données projet'!$B$15,Paramètres!$A$1:$I$89,5,0)</f>
        <v>2.3897894090482894</v>
      </c>
      <c r="EL8" s="13">
        <f t="shared" si="45"/>
        <v>0.99510895803553312</v>
      </c>
      <c r="EM8" s="20">
        <f t="shared" si="19"/>
        <v>5.8953646560043245</v>
      </c>
      <c r="EN8" s="59">
        <f t="shared" si="20"/>
        <v>268.67314243378212</v>
      </c>
      <c r="EO8" s="59">
        <f ca="1">AVERAGE(OFFSET($EN$3,0,0,'Données projet'!$E$15+1,1))-AVERAGE(OFFSET($H$3,0,0,'Données projet'!$E$15+1,1))</f>
        <v>255.2813753128475</v>
      </c>
      <c r="EP8" s="59">
        <f t="shared" si="46"/>
        <v>317.03005098025352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3.3454643638562565</v>
      </c>
      <c r="O9" s="13">
        <f>N9*VLOOKUP('Données projet'!$B$9,Paramètres!$A$1:$I$89,3,0)*VLOOKUP('Données projet'!$B$9,Paramètres!$A$1:$I$89,5,0)</f>
        <v>2.4528944715794072</v>
      </c>
      <c r="P9" s="13">
        <f t="shared" si="33"/>
        <v>1.0182919475019252</v>
      </c>
      <c r="Q9" s="20">
        <f t="shared" si="2"/>
        <v>6.045649679899987</v>
      </c>
      <c r="R9" s="59">
        <f t="shared" si="0"/>
        <v>270.04564967990001</v>
      </c>
      <c r="S9" s="59">
        <f ca="1">AVERAGE(OFFSET($R$3,0,0,'Données projet'!$E$9+1,1))-AVERAGE(OFFSET($H$3,0,0,'Données projet'!$E$9+1,1))</f>
        <v>193.60868637458515</v>
      </c>
      <c r="T9" s="59">
        <f t="shared" si="34"/>
        <v>272.97841038165217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3.353747682287918</v>
      </c>
      <c r="AK9" s="13">
        <f t="shared" si="35"/>
        <v>1.3424889309030987</v>
      </c>
      <c r="AL9" s="20">
        <f t="shared" si="4"/>
        <v>8.1792787679743544</v>
      </c>
      <c r="AM9" s="59">
        <f t="shared" si="5"/>
        <v>272.17927876797438</v>
      </c>
      <c r="AN9" s="59">
        <f ca="1">AVERAGE(OFFSET($AM$3,0,0,'Données projet'!$E$10+1,1))-AVERAGE(OFFSET($H$3,0,0,'Données projet'!$E$10+1,1))</f>
        <v>281.79835088425858</v>
      </c>
      <c r="AO9" s="59">
        <f t="shared" si="36"/>
        <v>345.4750813433123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271.99956744330279</v>
      </c>
      <c r="BI9" s="59">
        <f ca="1">AVERAGE(OFFSET($BH$3,0,0,'Données projet'!$E$11+1,1))-AVERAGE(OFFSET($H$3,0,0,'Données projet'!$E$11+1,1))</f>
        <v>343.6089004382095</v>
      </c>
      <c r="BJ9" s="59">
        <f t="shared" si="38"/>
        <v>278.21741231699929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2.6666666666666665</v>
      </c>
      <c r="BY9" s="12">
        <f>IF('Données projet'!$A$114&gt;35,BY8+BX9-CG8,IF(A9&lt;'Données projet'!$A$114,$BV$205^A9,IF(A9='Données projet'!$A$114,'Données projet'!$B$114,BY8+BX9-CG8)))</f>
        <v>4.3734482957731098</v>
      </c>
      <c r="BZ9" s="13">
        <f>BY9*VLOOKUP('Données projet'!$B$12,Paramètres!$A$1:$I$89,3,0)*VLOOKUP('Données projet'!$B$12,Paramètres!$A$1:$I$89,5,0)</f>
        <v>3.4112896707030256</v>
      </c>
      <c r="CA9" s="13">
        <f t="shared" si="39"/>
        <v>1.3628213830192535</v>
      </c>
      <c r="CB9" s="20">
        <f t="shared" si="10"/>
        <v>8.3149100852329703</v>
      </c>
      <c r="CC9" s="59">
        <f t="shared" si="11"/>
        <v>272.31491008523295</v>
      </c>
      <c r="CD9" s="59">
        <f ca="1">AVERAGE(OFFSET($CC$3,0,0,'Données projet'!$E$12+1,1))-AVERAGE(OFFSET($H$3,0,0,'Données projet'!$E$12+1,1))</f>
        <v>288.82868507674738</v>
      </c>
      <c r="CE9" s="59">
        <f t="shared" si="40"/>
        <v>283.48738729114024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1.6</v>
      </c>
      <c r="CT9" s="12">
        <f>IF('Données projet'!$A$140&gt;35,CT8+CS9-DB8,IF(A9&lt;'Données projet'!$A$140,$CQ$205^A9,IF(A9='Données projet'!$A$140,'Données projet'!$B$140,CT8+CS9-DB8)))</f>
        <v>2.8284271247461894</v>
      </c>
      <c r="CU9" s="17">
        <f>CT9*VLOOKUP('Données projet'!$B$13,Paramètres!$A$1:$I$89,3,0)*VLOOKUP('Données projet'!$B$13,Paramètres!$A$1:$I$89,5,0)</f>
        <v>2.4267904730322307</v>
      </c>
      <c r="CV9" s="13">
        <f t="shared" si="41"/>
        <v>1.0087106093953995</v>
      </c>
      <c r="CW9" s="20">
        <f t="shared" si="13"/>
        <v>5.9834977185614555</v>
      </c>
      <c r="CX9" s="59">
        <f t="shared" si="14"/>
        <v>269.98349771856147</v>
      </c>
      <c r="CY9" s="59">
        <f ca="1">AVERAGE(OFFSET($CX$3,0,0,'Données projet'!$E$13+1,1))-AVERAGE(OFFSET($H$3,0,0,'Données projet'!$E$13+1,1))</f>
        <v>273.73158910361786</v>
      </c>
      <c r="CZ9" s="59">
        <f t="shared" si="42"/>
        <v>256.77417912163997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12.6</v>
      </c>
      <c r="DO9" s="12">
        <f>IF('Données projet'!$A$166&gt;35,DO8+DN9-DW8,IF(A9&lt;'Données projet'!$A$166,$DL$205^A9,IF(A9='Données projet'!$A$166,'Données projet'!$B$166,DO8+DN9-DW8)))</f>
        <v>8.1392562496968175</v>
      </c>
      <c r="DP9" s="17">
        <f>DO9*VLOOKUP('Données projet'!$B$14,Paramètres!$A$1:$I$89,3,0)*VLOOKUP('Données projet'!$B$14,Paramètres!$A$1:$I$89,5,0)</f>
        <v>4.5498442435805213</v>
      </c>
      <c r="DQ9" s="13">
        <f t="shared" si="43"/>
        <v>1.7577527998813831</v>
      </c>
      <c r="DR9" s="20">
        <f t="shared" si="16"/>
        <v>10.985731517362817</v>
      </c>
      <c r="DS9" s="59">
        <f t="shared" si="17"/>
        <v>274.98573151736281</v>
      </c>
      <c r="DT9" s="59">
        <f ca="1">AVERAGE(OFFSET($DS$3,0,0,'Données projet'!$E$14+1,1))-AVERAGE(OFFSET($H$3,0,0,'Données projet'!$E$14+1,1))</f>
        <v>534.78683721545372</v>
      </c>
      <c r="DU9" s="59">
        <f t="shared" si="44"/>
        <v>710.59298755711075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2.8</v>
      </c>
      <c r="EJ9" s="12">
        <f>IF('Données projet'!$A$192&gt;35,EJ8+EI9-ER8,IF(A9&lt;'Données projet'!$A$192,$EG$205^A9,IF(A9='Données projet'!$A$192,'Données projet'!$B$192,EJ8+EI9-ER8)))</f>
        <v>3.3454643638562565</v>
      </c>
      <c r="EK9" s="17">
        <f>EJ9*VLOOKUP('Données projet'!$B$15,Paramètres!$A$1:$I$89,3,0)*VLOOKUP('Données projet'!$B$15,Paramètres!$A$1:$I$89,5,0)</f>
        <v>2.9225976682648258</v>
      </c>
      <c r="EL9" s="13">
        <f t="shared" si="45"/>
        <v>1.1887912034591914</v>
      </c>
      <c r="EM9" s="20">
        <f t="shared" si="19"/>
        <v>7.160668951585996</v>
      </c>
      <c r="EN9" s="59">
        <f t="shared" si="20"/>
        <v>271.16066895158599</v>
      </c>
      <c r="EO9" s="59">
        <f ca="1">AVERAGE(OFFSET($EN$3,0,0,'Données projet'!$E$15+1,1))-AVERAGE(OFFSET($H$3,0,0,'Données projet'!$E$15+1,1))</f>
        <v>255.2813753128475</v>
      </c>
      <c r="EP9" s="59">
        <f t="shared" si="46"/>
        <v>317.03005098025352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4.091342237960264</v>
      </c>
      <c r="O10" s="13">
        <f>N10*VLOOKUP('Données projet'!$B$9,Paramètres!$A$1:$I$89,3,0)*VLOOKUP('Données projet'!$B$9,Paramètres!$A$1:$I$89,5,0)</f>
        <v>2.9997721288724652</v>
      </c>
      <c r="P10" s="13">
        <f t="shared" si="33"/>
        <v>1.2164863957544558</v>
      </c>
      <c r="Q10" s="20">
        <f t="shared" si="2"/>
        <v>7.3433169303918868</v>
      </c>
      <c r="R10" s="59">
        <f t="shared" si="0"/>
        <v>272.56553915261412</v>
      </c>
      <c r="S10" s="59">
        <f ca="1">AVERAGE(OFFSET($R$3,0,0,'Données projet'!$E$9+1,1))-AVERAGE(OFFSET($H$3,0,0,'Données projet'!$E$9+1,1))</f>
        <v>193.60868637458515</v>
      </c>
      <c r="T10" s="59">
        <f t="shared" si="34"/>
        <v>272.97841038165217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4.2625516462415645</v>
      </c>
      <c r="AK10" s="13">
        <f t="shared" si="35"/>
        <v>1.6593124478620722</v>
      </c>
      <c r="AL10" s="20">
        <f t="shared" si="4"/>
        <v>10.313913297230501</v>
      </c>
      <c r="AM10" s="59">
        <f t="shared" si="5"/>
        <v>275.53613551945273</v>
      </c>
      <c r="AN10" s="59">
        <f ca="1">AVERAGE(OFFSET($AM$3,0,0,'Données projet'!$E$10+1,1))-AVERAGE(OFFSET($H$3,0,0,'Données projet'!$E$10+1,1))</f>
        <v>281.79835088425858</v>
      </c>
      <c r="AO10" s="59">
        <f t="shared" si="36"/>
        <v>345.4750813433123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275.06582823164507</v>
      </c>
      <c r="BI10" s="59">
        <f ca="1">AVERAGE(OFFSET($BH$3,0,0,'Données projet'!$E$11+1,1))-AVERAGE(OFFSET($H$3,0,0,'Données projet'!$E$11+1,1))</f>
        <v>343.6089004382095</v>
      </c>
      <c r="BJ10" s="59">
        <f t="shared" si="38"/>
        <v>278.21741231699929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2.6666666666666665</v>
      </c>
      <c r="BY10" s="12">
        <f>IF('Données projet'!$A$114&gt;35,BY9+BX10-CG9,IF(A10&lt;'Données projet'!$A$114,$BV$205^A10,IF(A10='Données projet'!$A$114,'Données projet'!$B$114,BY9+BX10-CG9)))</f>
        <v>5.5927833467405659</v>
      </c>
      <c r="BZ10" s="13">
        <f>BY10*VLOOKUP('Données projet'!$B$12,Paramètres!$A$1:$I$89,3,0)*VLOOKUP('Données projet'!$B$12,Paramètres!$A$1:$I$89,5,0)</f>
        <v>4.3623710104576414</v>
      </c>
      <c r="CA10" s="13">
        <f t="shared" si="39"/>
        <v>1.6936004212396314</v>
      </c>
      <c r="CB10" s="20">
        <f t="shared" si="10"/>
        <v>10.54748357687275</v>
      </c>
      <c r="CC10" s="59">
        <f t="shared" si="11"/>
        <v>275.76970579909499</v>
      </c>
      <c r="CD10" s="59">
        <f ca="1">AVERAGE(OFFSET($CC$3,0,0,'Données projet'!$E$12+1,1))-AVERAGE(OFFSET($H$3,0,0,'Données projet'!$E$12+1,1))</f>
        <v>288.82868507674738</v>
      </c>
      <c r="CE10" s="59">
        <f t="shared" si="40"/>
        <v>283.48738729114024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1.6</v>
      </c>
      <c r="CT10" s="12">
        <f>IF('Données projet'!$A$140&gt;35,CT9+CS10-DB9,IF(A10&lt;'Données projet'!$A$140,$CQ$205^A10,IF(A10='Données projet'!$A$140,'Données projet'!$B$140,CT9+CS10-DB9)))</f>
        <v>3.3635856610148567</v>
      </c>
      <c r="CU10" s="17">
        <f>CT10*VLOOKUP('Données projet'!$B$13,Paramètres!$A$1:$I$89,3,0)*VLOOKUP('Données projet'!$B$13,Paramètres!$A$1:$I$89,5,0)</f>
        <v>2.8859564971507474</v>
      </c>
      <c r="CV10" s="13">
        <f t="shared" si="41"/>
        <v>1.1756122821876749</v>
      </c>
      <c r="CW10" s="20">
        <f t="shared" si="13"/>
        <v>7.073898957347752</v>
      </c>
      <c r="CX10" s="59">
        <f t="shared" si="14"/>
        <v>272.29612117956998</v>
      </c>
      <c r="CY10" s="59">
        <f ca="1">AVERAGE(OFFSET($CX$3,0,0,'Données projet'!$E$13+1,1))-AVERAGE(OFFSET($H$3,0,0,'Données projet'!$E$13+1,1))</f>
        <v>273.73158910361786</v>
      </c>
      <c r="CZ10" s="59">
        <f t="shared" si="42"/>
        <v>256.77417912163997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12.6</v>
      </c>
      <c r="DO10" s="12">
        <f>IF('Données projet'!$A$166&gt;35,DO9+DN10-DW9,IF(A10&lt;'Données projet'!$A$166,$DL$205^A10,IF(A10='Données projet'!$A$166,'Données projet'!$B$166,DO9+DN10-DW9)))</f>
        <v>11.543801278171953</v>
      </c>
      <c r="DP10" s="17">
        <f>DO10*VLOOKUP('Données projet'!$B$14,Paramètres!$A$1:$I$89,3,0)*VLOOKUP('Données projet'!$B$14,Paramètres!$A$1:$I$89,5,0)</f>
        <v>6.4529849144981215</v>
      </c>
      <c r="DQ10" s="13">
        <f t="shared" si="43"/>
        <v>2.3936275513155714</v>
      </c>
      <c r="DR10" s="20">
        <f t="shared" si="16"/>
        <v>15.407850044625512</v>
      </c>
      <c r="DS10" s="59">
        <f t="shared" si="17"/>
        <v>280.63007226684772</v>
      </c>
      <c r="DT10" s="59">
        <f ca="1">AVERAGE(OFFSET($DS$3,0,0,'Données projet'!$E$14+1,1))-AVERAGE(OFFSET($H$3,0,0,'Données projet'!$E$14+1,1))</f>
        <v>534.78683721545372</v>
      </c>
      <c r="DU10" s="59">
        <f t="shared" si="44"/>
        <v>710.59298755711075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2.8</v>
      </c>
      <c r="EJ10" s="12">
        <f>IF('Données projet'!$A$192&gt;35,EJ9+EI10-ER9,IF(A10&lt;'Données projet'!$A$192,$EG$205^A10,IF(A10='Données projet'!$A$192,'Données projet'!$B$192,EJ9+EI10-ER9)))</f>
        <v>4.091342237960264</v>
      </c>
      <c r="EK10" s="17">
        <f>EJ10*VLOOKUP('Données projet'!$B$15,Paramètres!$A$1:$I$89,3,0)*VLOOKUP('Données projet'!$B$15,Paramètres!$A$1:$I$89,5,0)</f>
        <v>3.5741965790820869</v>
      </c>
      <c r="EL10" s="13">
        <f t="shared" si="45"/>
        <v>1.4201706396170235</v>
      </c>
      <c r="EM10" s="20">
        <f t="shared" si="19"/>
        <v>8.6985229059009512</v>
      </c>
      <c r="EN10" s="59">
        <f t="shared" si="20"/>
        <v>273.9207451281232</v>
      </c>
      <c r="EO10" s="59">
        <f ca="1">AVERAGE(OFFSET($EN$3,0,0,'Données projet'!$E$15+1,1))-AVERAGE(OFFSET($H$3,0,0,'Données projet'!$E$15+1,1))</f>
        <v>255.2813753128475</v>
      </c>
      <c r="EP10" s="59">
        <f t="shared" si="46"/>
        <v>317.03005098025352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5.0035150542816931</v>
      </c>
      <c r="O11" s="13">
        <f>N11*VLOOKUP('Données projet'!$B$9,Paramètres!$A$1:$I$89,3,0)*VLOOKUP('Données projet'!$B$9,Paramètres!$A$1:$I$89,5,0)</f>
        <v>3.6685772377993371</v>
      </c>
      <c r="P11" s="13">
        <f t="shared" si="33"/>
        <v>1.4532562637719066</v>
      </c>
      <c r="Q11" s="20">
        <f t="shared" si="2"/>
        <v>8.9205266819032492</v>
      </c>
      <c r="R11" s="59">
        <f t="shared" si="0"/>
        <v>275.36497112634771</v>
      </c>
      <c r="S11" s="59">
        <f ca="1">AVERAGE(OFFSET($R$3,0,0,'Données projet'!$E$9+1,1))-AVERAGE(OFFSET($H$3,0,0,'Données projet'!$E$9+1,1))</f>
        <v>193.60868637458515</v>
      </c>
      <c r="T11" s="59">
        <f t="shared" si="34"/>
        <v>272.97841038165217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5.4176247762567487</v>
      </c>
      <c r="AK11" s="13">
        <f t="shared" si="35"/>
        <v>2.0509054013412618</v>
      </c>
      <c r="AL11" s="20">
        <f t="shared" si="4"/>
        <v>13.007690059316532</v>
      </c>
      <c r="AM11" s="59">
        <f t="shared" si="5"/>
        <v>279.45213450376099</v>
      </c>
      <c r="AN11" s="59">
        <f ca="1">AVERAGE(OFFSET($AM$3,0,0,'Données projet'!$E$10+1,1))-AVERAGE(OFFSET($H$3,0,0,'Données projet'!$E$10+1,1))</f>
        <v>281.79835088425858</v>
      </c>
      <c r="AO11" s="59">
        <f t="shared" si="36"/>
        <v>345.4750813433123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278.55869888669031</v>
      </c>
      <c r="BI11" s="59">
        <f ca="1">AVERAGE(OFFSET($BH$3,0,0,'Données projet'!$E$11+1,1))-AVERAGE(OFFSET($H$3,0,0,'Données projet'!$E$11+1,1))</f>
        <v>343.6089004382095</v>
      </c>
      <c r="BJ11" s="59">
        <f t="shared" si="38"/>
        <v>278.21741231699929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2.6666666666666665</v>
      </c>
      <c r="BY11" s="12">
        <f>IF('Données projet'!$A$114&gt;35,BY10+BX11-CG10,IF(A11&lt;'Données projet'!$A$114,$BV$205^A11,IF(A11='Données projet'!$A$114,'Données projet'!$B$114,BY10+BX11-CG10)))</f>
        <v>7.1520739352994367</v>
      </c>
      <c r="BZ11" s="13">
        <f>BY11*VLOOKUP('Données projet'!$B$12,Paramètres!$A$1:$I$89,3,0)*VLOOKUP('Données projet'!$B$12,Paramètres!$A$1:$I$89,5,0)</f>
        <v>5.5786176695335605</v>
      </c>
      <c r="CA11" s="13">
        <f t="shared" si="39"/>
        <v>2.1046649418345189</v>
      </c>
      <c r="CB11" s="20">
        <f t="shared" si="10"/>
        <v>13.381717214799407</v>
      </c>
      <c r="CC11" s="59">
        <f t="shared" si="11"/>
        <v>279.82616165924384</v>
      </c>
      <c r="CD11" s="59">
        <f ca="1">AVERAGE(OFFSET($CC$3,0,0,'Données projet'!$E$12+1,1))-AVERAGE(OFFSET($H$3,0,0,'Données projet'!$E$12+1,1))</f>
        <v>288.82868507674738</v>
      </c>
      <c r="CE11" s="59">
        <f t="shared" si="40"/>
        <v>283.48738729114024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1.6</v>
      </c>
      <c r="CT11" s="12">
        <f>IF('Données projet'!$A$140&gt;35,CT10+CS11-DB10,IF(A11&lt;'Données projet'!$A$140,$CQ$205^A11,IF(A11='Données projet'!$A$140,'Données projet'!$B$140,CT10+CS11-DB10)))</f>
        <v>3.9999999999999982</v>
      </c>
      <c r="CU11" s="17">
        <f>CT11*VLOOKUP('Données projet'!$B$13,Paramètres!$A$1:$I$89,3,0)*VLOOKUP('Données projet'!$B$13,Paramètres!$A$1:$I$89,5,0)</f>
        <v>3.4319999999999991</v>
      </c>
      <c r="CV11" s="13">
        <f t="shared" si="41"/>
        <v>1.3701295744860806</v>
      </c>
      <c r="CW11" s="20">
        <f t="shared" si="13"/>
        <v>8.3637090088965884</v>
      </c>
      <c r="CX11" s="59">
        <f t="shared" si="14"/>
        <v>274.80815345334105</v>
      </c>
      <c r="CY11" s="59">
        <f ca="1">AVERAGE(OFFSET($CX$3,0,0,'Données projet'!$E$13+1,1))-AVERAGE(OFFSET($H$3,0,0,'Données projet'!$E$13+1,1))</f>
        <v>273.73158910361786</v>
      </c>
      <c r="CZ11" s="59">
        <f t="shared" si="42"/>
        <v>256.77417912163997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12.6</v>
      </c>
      <c r="DO11" s="12">
        <f>IF('Données projet'!$A$166&gt;35,DO10+DN11-DW10,IF(A11&lt;'Données projet'!$A$166,$DL$205^A11,IF(A11='Données projet'!$A$166,'Données projet'!$B$166,DO10+DN11-DW10)))</f>
        <v>16.372423211873727</v>
      </c>
      <c r="DP11" s="17">
        <f>DO11*VLOOKUP('Données projet'!$B$14,Paramètres!$A$1:$I$89,3,0)*VLOOKUP('Données projet'!$B$14,Paramètres!$A$1:$I$89,5,0)</f>
        <v>9.1521845754374134</v>
      </c>
      <c r="DQ11" s="13">
        <f t="shared" si="43"/>
        <v>3.2595327709354898</v>
      </c>
      <c r="DR11" s="20">
        <f t="shared" si="16"/>
        <v>21.617074378266139</v>
      </c>
      <c r="DS11" s="59">
        <f t="shared" si="17"/>
        <v>288.06151882271058</v>
      </c>
      <c r="DT11" s="59">
        <f ca="1">AVERAGE(OFFSET($DS$3,0,0,'Données projet'!$E$14+1,1))-AVERAGE(OFFSET($H$3,0,0,'Données projet'!$E$14+1,1))</f>
        <v>534.78683721545372</v>
      </c>
      <c r="DU11" s="59">
        <f t="shared" si="44"/>
        <v>710.59298755711075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2.8</v>
      </c>
      <c r="EJ11" s="12">
        <f>IF('Données projet'!$A$192&gt;35,EJ10+EI11-ER10,IF(A11&lt;'Données projet'!$A$192,$EG$205^A11,IF(A11='Données projet'!$A$192,'Données projet'!$B$192,EJ10+EI11-ER10)))</f>
        <v>5.0035150542816931</v>
      </c>
      <c r="EK11" s="17">
        <f>EJ11*VLOOKUP('Données projet'!$B$15,Paramètres!$A$1:$I$89,3,0)*VLOOKUP('Données projet'!$B$15,Paramètres!$A$1:$I$89,5,0)</f>
        <v>4.3710707514204881</v>
      </c>
      <c r="EL11" s="13">
        <f t="shared" si="45"/>
        <v>1.696584429428327</v>
      </c>
      <c r="EM11" s="20">
        <f t="shared" si="19"/>
        <v>10.567832773311686</v>
      </c>
      <c r="EN11" s="59">
        <f t="shared" si="20"/>
        <v>277.01227721775615</v>
      </c>
      <c r="EO11" s="59">
        <f ca="1">AVERAGE(OFFSET($EN$3,0,0,'Données projet'!$E$15+1,1))-AVERAGE(OFFSET($H$3,0,0,'Données projet'!$E$15+1,1))</f>
        <v>255.2813753128475</v>
      </c>
      <c r="EP11" s="59">
        <f t="shared" si="46"/>
        <v>317.03005098025352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6.1190585979687659</v>
      </c>
      <c r="O12" s="13">
        <f>N12*VLOOKUP('Données projet'!$B$9,Paramètres!$A$1:$I$89,3,0)*VLOOKUP('Données projet'!$B$9,Paramètres!$A$1:$I$89,5,0)</f>
        <v>4.4864937640306986</v>
      </c>
      <c r="P12" s="13">
        <f t="shared" si="33"/>
        <v>1.7361096478867435</v>
      </c>
      <c r="Q12" s="20">
        <f t="shared" si="2"/>
        <v>10.837700942422877</v>
      </c>
      <c r="R12" s="59">
        <f t="shared" si="0"/>
        <v>278.50436760908957</v>
      </c>
      <c r="S12" s="59">
        <f ca="1">AVERAGE(OFFSET($R$3,0,0,'Données projet'!$E$9+1,1))-AVERAGE(OFFSET($H$3,0,0,'Données projet'!$E$9+1,1))</f>
        <v>193.60868637458515</v>
      </c>
      <c r="T12" s="59">
        <f t="shared" si="34"/>
        <v>272.97841038165217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6.8857014887292793</v>
      </c>
      <c r="AK12" s="13">
        <f t="shared" si="35"/>
        <v>2.5349131627802968</v>
      </c>
      <c r="AL12" s="20">
        <f t="shared" si="4"/>
        <v>16.407570518045844</v>
      </c>
      <c r="AM12" s="59">
        <f t="shared" si="5"/>
        <v>284.0742371847125</v>
      </c>
      <c r="AN12" s="59">
        <f ca="1">AVERAGE(OFFSET($AM$3,0,0,'Données projet'!$E$10+1,1))-AVERAGE(OFFSET($H$3,0,0,'Données projet'!$E$10+1,1))</f>
        <v>281.79835088425858</v>
      </c>
      <c r="AO12" s="59">
        <f t="shared" si="36"/>
        <v>345.4750813433123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282.5772044671009</v>
      </c>
      <c r="BI12" s="59">
        <f ca="1">AVERAGE(OFFSET($BH$3,0,0,'Données projet'!$E$11+1,1))-AVERAGE(OFFSET($H$3,0,0,'Données projet'!$E$11+1,1))</f>
        <v>343.6089004382095</v>
      </c>
      <c r="BJ12" s="59">
        <f t="shared" si="38"/>
        <v>278.21741231699929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2.6666666666666665</v>
      </c>
      <c r="BY12" s="12">
        <f>IF('Données projet'!$A$114&gt;35,BY11+BX12-CG11,IF(A12&lt;'Données projet'!$A$114,$BV$205^A12,IF(A12='Données projet'!$A$114,'Données projet'!$B$114,BY11+BX12-CG11)))</f>
        <v>9.1461010385465205</v>
      </c>
      <c r="BZ12" s="13">
        <f>BY12*VLOOKUP('Données projet'!$B$12,Paramètres!$A$1:$I$89,3,0)*VLOOKUP('Données projet'!$B$12,Paramètres!$A$1:$I$89,5,0)</f>
        <v>7.1339588100662858</v>
      </c>
      <c r="CA12" s="13">
        <f t="shared" si="39"/>
        <v>2.6155015444227643</v>
      </c>
      <c r="CB12" s="20">
        <f t="shared" si="10"/>
        <v>16.980310117401761</v>
      </c>
      <c r="CC12" s="59">
        <f t="shared" si="11"/>
        <v>284.64697678406844</v>
      </c>
      <c r="CD12" s="59">
        <f ca="1">AVERAGE(OFFSET($CC$3,0,0,'Données projet'!$E$12+1,1))-AVERAGE(OFFSET($H$3,0,0,'Données projet'!$E$12+1,1))</f>
        <v>288.82868507674738</v>
      </c>
      <c r="CE12" s="59">
        <f t="shared" si="40"/>
        <v>283.48738729114024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1.6</v>
      </c>
      <c r="CT12" s="12">
        <f>IF('Données projet'!$A$140&gt;35,CT11+CS12-DB11,IF(A12&lt;'Données projet'!$A$140,$CQ$205^A12,IF(A12='Données projet'!$A$140,'Données projet'!$B$140,CT11+CS12-DB11)))</f>
        <v>4.7568284600108823</v>
      </c>
      <c r="CU12" s="17">
        <f>CT12*VLOOKUP('Données projet'!$B$13,Paramètres!$A$1:$I$89,3,0)*VLOOKUP('Données projet'!$B$13,Paramètres!$A$1:$I$89,5,0)</f>
        <v>4.0813588186893375</v>
      </c>
      <c r="CV12" s="13">
        <f t="shared" si="41"/>
        <v>1.5968317780655192</v>
      </c>
      <c r="CW12" s="20">
        <f t="shared" si="13"/>
        <v>9.8895152893480418</v>
      </c>
      <c r="CX12" s="59">
        <f t="shared" si="14"/>
        <v>277.55618195601471</v>
      </c>
      <c r="CY12" s="59">
        <f ca="1">AVERAGE(OFFSET($CX$3,0,0,'Données projet'!$E$13+1,1))-AVERAGE(OFFSET($H$3,0,0,'Données projet'!$E$13+1,1))</f>
        <v>273.73158910361786</v>
      </c>
      <c r="CZ12" s="59">
        <f t="shared" si="42"/>
        <v>256.77417912163997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12.6</v>
      </c>
      <c r="DO12" s="12">
        <f>IF('Données projet'!$A$166&gt;35,DO11+DN12-DW11,IF(A12&lt;'Données projet'!$A$166,$DL$205^A12,IF(A12='Données projet'!$A$166,'Données projet'!$B$166,DO11+DN12-DW11)))</f>
        <v>23.220794898433166</v>
      </c>
      <c r="DP12" s="17">
        <f>DO12*VLOOKUP('Données projet'!$B$14,Paramètres!$A$1:$I$89,3,0)*VLOOKUP('Données projet'!$B$14,Paramètres!$A$1:$I$89,5,0)</f>
        <v>12.98042434822414</v>
      </c>
      <c r="DQ12" s="13">
        <f t="shared" si="43"/>
        <v>4.4386829851465368</v>
      </c>
      <c r="DR12" s="20">
        <f t="shared" si="16"/>
        <v>30.338278605620587</v>
      </c>
      <c r="DS12" s="59">
        <f t="shared" si="17"/>
        <v>298.00494527228727</v>
      </c>
      <c r="DT12" s="59">
        <f ca="1">AVERAGE(OFFSET($DS$3,0,0,'Données projet'!$E$14+1,1))-AVERAGE(OFFSET($H$3,0,0,'Données projet'!$E$14+1,1))</f>
        <v>534.78683721545372</v>
      </c>
      <c r="DU12" s="59">
        <f t="shared" si="44"/>
        <v>710.59298755711075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2.8</v>
      </c>
      <c r="EJ12" s="12">
        <f>IF('Données projet'!$A$192&gt;35,EJ11+EI12-ER11,IF(A12&lt;'Données projet'!$A$192,$EG$205^A12,IF(A12='Données projet'!$A$192,'Données projet'!$B$192,EJ11+EI12-ER11)))</f>
        <v>6.1190585979687659</v>
      </c>
      <c r="EK12" s="17">
        <f>EJ12*VLOOKUP('Données projet'!$B$15,Paramètres!$A$1:$I$89,3,0)*VLOOKUP('Données projet'!$B$15,Paramètres!$A$1:$I$89,5,0)</f>
        <v>5.3456095911855153</v>
      </c>
      <c r="EL12" s="13">
        <f t="shared" si="45"/>
        <v>2.0267977987172419</v>
      </c>
      <c r="EM12" s="20">
        <f t="shared" si="19"/>
        <v>12.840276204080633</v>
      </c>
      <c r="EN12" s="59">
        <f t="shared" si="20"/>
        <v>280.50694287074731</v>
      </c>
      <c r="EO12" s="59">
        <f ca="1">AVERAGE(OFFSET($EN$3,0,0,'Données projet'!$E$15+1,1))-AVERAGE(OFFSET($H$3,0,0,'Données projet'!$E$15+1,1))</f>
        <v>255.2813753128475</v>
      </c>
      <c r="EP12" s="59">
        <f t="shared" si="46"/>
        <v>317.03005098025352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7.4833147735478933</v>
      </c>
      <c r="O13" s="13">
        <f>N13*VLOOKUP('Données projet'!$B$9,Paramètres!$A$1:$I$89,3,0)*VLOOKUP('Données projet'!$B$9,Paramètres!$A$1:$I$89,5,0)</f>
        <v>5.4867663919653147</v>
      </c>
      <c r="P13" s="13">
        <f t="shared" si="33"/>
        <v>2.074015976826026</v>
      </c>
      <c r="Q13" s="20">
        <f t="shared" si="2"/>
        <v>13.168362625644917</v>
      </c>
      <c r="R13" s="59">
        <f t="shared" si="0"/>
        <v>282.05725151453379</v>
      </c>
      <c r="S13" s="59">
        <f ca="1">AVERAGE(OFFSET($R$3,0,0,'Données projet'!$E$9+1,1))-AVERAGE(OFFSET($H$3,0,0,'Données projet'!$E$9+1,1))</f>
        <v>193.60868637458515</v>
      </c>
      <c r="T13" s="59">
        <f t="shared" si="34"/>
        <v>272.97841038165217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8.7516000000000016</v>
      </c>
      <c r="AK13" s="13">
        <f t="shared" si="35"/>
        <v>3.1331453604025001</v>
      </c>
      <c r="AL13" s="20">
        <f t="shared" si="4"/>
        <v>20.699264836034356</v>
      </c>
      <c r="AM13" s="59">
        <f t="shared" si="5"/>
        <v>289.58815372492319</v>
      </c>
      <c r="AN13" s="59">
        <f ca="1">AVERAGE(OFFSET($AM$3,0,0,'Données projet'!$E$10+1,1))-AVERAGE(OFFSET($H$3,0,0,'Données projet'!$E$10+1,1))</f>
        <v>281.79835088425858</v>
      </c>
      <c r="AO13" s="59">
        <f t="shared" si="36"/>
        <v>345.4750813433123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287.2434272262301</v>
      </c>
      <c r="BI13" s="59">
        <f ca="1">AVERAGE(OFFSET($BH$3,0,0,'Données projet'!$E$11+1,1))-AVERAGE(OFFSET($H$3,0,0,'Données projet'!$E$11+1,1))</f>
        <v>343.6089004382095</v>
      </c>
      <c r="BJ13" s="59">
        <f t="shared" si="38"/>
        <v>278.21741231699929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2.6666666666666665</v>
      </c>
      <c r="BY13" s="12">
        <f>IF('Données projet'!$A$114&gt;35,BY12+BX13-CG12,IF(A13&lt;'Données projet'!$A$114,$BV$205^A13,IF(A13='Données projet'!$A$114,'Données projet'!$B$114,BY12+BX13-CG12)))</f>
        <v>11.696070952851455</v>
      </c>
      <c r="BZ13" s="13">
        <f>BY13*VLOOKUP('Données projet'!$B$12,Paramètres!$A$1:$I$89,3,0)*VLOOKUP('Données projet'!$B$12,Paramètres!$A$1:$I$89,5,0)</f>
        <v>9.1229353432241354</v>
      </c>
      <c r="CA13" s="13">
        <f t="shared" si="39"/>
        <v>3.2503265450485803</v>
      </c>
      <c r="CB13" s="20">
        <f t="shared" si="10"/>
        <v>21.550097788741649</v>
      </c>
      <c r="CC13" s="59">
        <f t="shared" si="11"/>
        <v>290.43898667763051</v>
      </c>
      <c r="CD13" s="59">
        <f ca="1">AVERAGE(OFFSET($CC$3,0,0,'Données projet'!$E$12+1,1))-AVERAGE(OFFSET($H$3,0,0,'Données projet'!$E$12+1,1))</f>
        <v>288.82868507674738</v>
      </c>
      <c r="CE13" s="59">
        <f t="shared" si="40"/>
        <v>283.48738729114024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1.6</v>
      </c>
      <c r="CT13" s="12">
        <f>IF('Données projet'!$A$140&gt;35,CT12+CS13-DB12,IF(A13&lt;'Données projet'!$A$140,$CQ$205^A13,IF(A13='Données projet'!$A$140,'Données projet'!$B$140,CT12+CS13-DB12)))</f>
        <v>5.656854249492377</v>
      </c>
      <c r="CU13" s="17">
        <f>CT13*VLOOKUP('Données projet'!$B$13,Paramètres!$A$1:$I$89,3,0)*VLOOKUP('Données projet'!$B$13,Paramètres!$A$1:$I$89,5,0)</f>
        <v>4.8535809460644597</v>
      </c>
      <c r="CV13" s="13">
        <f t="shared" si="41"/>
        <v>1.8610442215994896</v>
      </c>
      <c r="CW13" s="20">
        <f t="shared" si="13"/>
        <v>11.694638833681379</v>
      </c>
      <c r="CX13" s="59">
        <f t="shared" si="14"/>
        <v>280.58352772257024</v>
      </c>
      <c r="CY13" s="59">
        <f ca="1">AVERAGE(OFFSET($CX$3,0,0,'Données projet'!$E$13+1,1))-AVERAGE(OFFSET($H$3,0,0,'Données projet'!$E$13+1,1))</f>
        <v>273.73158910361786</v>
      </c>
      <c r="CZ13" s="59">
        <f t="shared" si="42"/>
        <v>256.77417912163997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12.6</v>
      </c>
      <c r="DO13" s="12">
        <f>IF('Données projet'!$A$166&gt;35,DO12+DN13-DW12,IF(A13&lt;'Données projet'!$A$166,$DL$205^A13,IF(A13='Données projet'!$A$166,'Données projet'!$B$166,DO12+DN13-DW12)))</f>
        <v>32.933751390206758</v>
      </c>
      <c r="DP13" s="17">
        <f>DO13*VLOOKUP('Données projet'!$B$14,Paramètres!$A$1:$I$89,3,0)*VLOOKUP('Données projet'!$B$14,Paramètres!$A$1:$I$89,5,0)</f>
        <v>18.409967027125578</v>
      </c>
      <c r="DQ13" s="13">
        <f t="shared" si="43"/>
        <v>6.0443959386777069</v>
      </c>
      <c r="DR13" s="20">
        <f t="shared" si="16"/>
        <v>42.591348832107379</v>
      </c>
      <c r="DS13" s="59">
        <f t="shared" si="17"/>
        <v>311.48023772099623</v>
      </c>
      <c r="DT13" s="59">
        <f ca="1">AVERAGE(OFFSET($DS$3,0,0,'Données projet'!$E$14+1,1))-AVERAGE(OFFSET($H$3,0,0,'Données projet'!$E$14+1,1))</f>
        <v>534.78683721545372</v>
      </c>
      <c r="DU13" s="59">
        <f t="shared" si="44"/>
        <v>710.59298755711075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2.8</v>
      </c>
      <c r="EJ13" s="12">
        <f>IF('Données projet'!$A$192&gt;35,EJ12+EI13-ER12,IF(A13&lt;'Données projet'!$A$192,$EG$205^A13,IF(A13='Données projet'!$A$192,'Données projet'!$B$192,EJ12+EI13-ER12)))</f>
        <v>7.4833147735478933</v>
      </c>
      <c r="EK13" s="17">
        <f>EJ13*VLOOKUP('Données projet'!$B$15,Paramètres!$A$1:$I$89,3,0)*VLOOKUP('Données projet'!$B$15,Paramètres!$A$1:$I$89,5,0)</f>
        <v>6.5374237861714404</v>
      </c>
      <c r="EL13" s="13">
        <f t="shared" si="45"/>
        <v>2.4212819861073687</v>
      </c>
      <c r="EM13" s="20">
        <f t="shared" si="19"/>
        <v>15.603079220052257</v>
      </c>
      <c r="EN13" s="59">
        <f t="shared" si="20"/>
        <v>284.49196810894114</v>
      </c>
      <c r="EO13" s="59">
        <f ca="1">AVERAGE(OFFSET($EN$3,0,0,'Données projet'!$E$15+1,1))-AVERAGE(OFFSET($H$3,0,0,'Données projet'!$E$15+1,1))</f>
        <v>255.2813753128475</v>
      </c>
      <c r="EP13" s="59">
        <f t="shared" si="46"/>
        <v>317.03005098025352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9.1517345525322273</v>
      </c>
      <c r="O14" s="13">
        <f>N14*VLOOKUP('Données projet'!$B$9,Paramètres!$A$1:$I$89,3,0)*VLOOKUP('Données projet'!$B$9,Paramètres!$A$1:$I$89,5,0)</f>
        <v>6.7100517739166285</v>
      </c>
      <c r="P14" s="13">
        <f t="shared" si="33"/>
        <v>2.4776904369868635</v>
      </c>
      <c r="Q14" s="20">
        <f t="shared" si="2"/>
        <v>16.001984350656915</v>
      </c>
      <c r="R14" s="59">
        <f t="shared" si="0"/>
        <v>286.11309546176807</v>
      </c>
      <c r="S14" s="59">
        <f ca="1">AVERAGE(OFFSET($R$3,0,0,'Données projet'!$E$9+1,1))-AVERAGE(OFFSET($H$3,0,0,'Données projet'!$E$9+1,1))</f>
        <v>193.60868637458515</v>
      </c>
      <c r="T14" s="59">
        <f t="shared" si="34"/>
        <v>272.97841038165217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10.8</v>
      </c>
      <c r="AI14" s="13">
        <f>IF('Données projet'!$A$62&gt;35,AI13+AH14-AQ13,IF(A14&lt;'Données projet'!$A$62,$AF$205^A14,IF(A14='Données projet'!$A$62,'Données projet'!$B$62,AI13+AH14-AQ13)))</f>
        <v>21.8</v>
      </c>
      <c r="AJ14" s="13">
        <f>AI14*VLOOKUP('Données projet'!$B$10,Paramètres!$A$1:$I$89,3,0)*VLOOKUP('Données projet'!$B$10,Paramètres!$A$1:$I$89,5,0)</f>
        <v>17.344080000000002</v>
      </c>
      <c r="AK14" s="13">
        <f t="shared" si="35"/>
        <v>5.7341113912136308</v>
      </c>
      <c r="AL14" s="20">
        <f t="shared" si="4"/>
        <v>40.194516673030414</v>
      </c>
      <c r="AM14" s="59">
        <f t="shared" si="5"/>
        <v>310.30562778414156</v>
      </c>
      <c r="AN14" s="59">
        <f ca="1">AVERAGE(OFFSET($AM$3,0,0,'Données projet'!$E$10+1,1))-AVERAGE(OFFSET($H$3,0,0,'Données projet'!$E$10+1,1))</f>
        <v>281.79835088425858</v>
      </c>
      <c r="AO14" s="59">
        <f t="shared" si="36"/>
        <v>345.4750813433123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292.70789065900522</v>
      </c>
      <c r="BI14" s="59">
        <f ca="1">AVERAGE(OFFSET($BH$3,0,0,'Données projet'!$E$11+1,1))-AVERAGE(OFFSET($H$3,0,0,'Données projet'!$E$11+1,1))</f>
        <v>343.6089004382095</v>
      </c>
      <c r="BJ14" s="59">
        <f t="shared" si="38"/>
        <v>278.21741231699929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2.6666666666666665</v>
      </c>
      <c r="BY14" s="12">
        <f>IF('Données projet'!$A$114&gt;35,BY13+BX14-CG13,IF(A14&lt;'Données projet'!$A$114,$BV$205^A14,IF(A14='Données projet'!$A$114,'Données projet'!$B$114,BY13+BX14-CG13)))</f>
        <v>14.956982779612416</v>
      </c>
      <c r="BZ14" s="13">
        <f>BY14*VLOOKUP('Données projet'!$B$12,Paramètres!$A$1:$I$89,3,0)*VLOOKUP('Données projet'!$B$12,Paramètres!$A$1:$I$89,5,0)</f>
        <v>11.666446568097685</v>
      </c>
      <c r="CA14" s="13">
        <f t="shared" si="39"/>
        <v>4.0392339557111736</v>
      </c>
      <c r="CB14" s="20">
        <f t="shared" si="10"/>
        <v>27.354060245633761</v>
      </c>
      <c r="CC14" s="59">
        <f t="shared" si="11"/>
        <v>297.46517135674492</v>
      </c>
      <c r="CD14" s="59">
        <f ca="1">AVERAGE(OFFSET($CC$3,0,0,'Données projet'!$E$12+1,1))-AVERAGE(OFFSET($H$3,0,0,'Données projet'!$E$12+1,1))</f>
        <v>288.82868507674738</v>
      </c>
      <c r="CE14" s="59">
        <f t="shared" si="40"/>
        <v>283.48738729114024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1.6</v>
      </c>
      <c r="CT14" s="12">
        <f>IF('Données projet'!$A$140&gt;35,CT13+CS14-DB13,IF(A14&lt;'Données projet'!$A$140,$CQ$205^A14,IF(A14='Données projet'!$A$140,'Données projet'!$B$140,CT13+CS14-DB13)))</f>
        <v>6.7271713220297125</v>
      </c>
      <c r="CU14" s="17">
        <f>CT14*VLOOKUP('Données projet'!$B$13,Paramètres!$A$1:$I$89,3,0)*VLOOKUP('Données projet'!$B$13,Paramètres!$A$1:$I$89,5,0)</f>
        <v>5.771912994301494</v>
      </c>
      <c r="CV14" s="13">
        <f t="shared" si="41"/>
        <v>2.1689733648366443</v>
      </c>
      <c r="CW14" s="20">
        <f t="shared" si="13"/>
        <v>13.830377075498925</v>
      </c>
      <c r="CX14" s="59">
        <f t="shared" si="14"/>
        <v>283.94148818661006</v>
      </c>
      <c r="CY14" s="59">
        <f ca="1">AVERAGE(OFFSET($CX$3,0,0,'Données projet'!$E$13+1,1))-AVERAGE(OFFSET($H$3,0,0,'Données projet'!$E$13+1,1))</f>
        <v>273.73158910361786</v>
      </c>
      <c r="CZ14" s="59">
        <f t="shared" si="42"/>
        <v>256.77417912163997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12.6</v>
      </c>
      <c r="DO14" s="12">
        <f>IF('Données projet'!$A$166&gt;35,DO13+DN14-DW13,IF(A14&lt;'Données projet'!$A$166,$DL$205^A14,IF(A14='Données projet'!$A$166,'Données projet'!$B$166,DO13+DN14-DW13)))</f>
        <v>46.709511253860285</v>
      </c>
      <c r="DP14" s="17">
        <f>DO14*VLOOKUP('Données projet'!$B$14,Paramètres!$A$1:$I$89,3,0)*VLOOKUP('Données projet'!$B$14,Paramètres!$A$1:$I$89,5,0)</f>
        <v>26.110616790907901</v>
      </c>
      <c r="DQ14" s="13">
        <f t="shared" si="43"/>
        <v>8.2309825652704038</v>
      </c>
      <c r="DR14" s="20">
        <f t="shared" si="16"/>
        <v>59.811618878677223</v>
      </c>
      <c r="DS14" s="59">
        <f t="shared" si="17"/>
        <v>329.92272998978837</v>
      </c>
      <c r="DT14" s="59">
        <f ca="1">AVERAGE(OFFSET($DS$3,0,0,'Données projet'!$E$14+1,1))-AVERAGE(OFFSET($H$3,0,0,'Données projet'!$E$14+1,1))</f>
        <v>534.78683721545372</v>
      </c>
      <c r="DU14" s="59">
        <f t="shared" si="44"/>
        <v>710.59298755711075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2.8</v>
      </c>
      <c r="EJ14" s="12">
        <f>IF('Données projet'!$A$192&gt;35,EJ13+EI14-ER13,IF(A14&lt;'Données projet'!$A$192,$EG$205^A14,IF(A14='Données projet'!$A$192,'Données projet'!$B$192,EJ13+EI14-ER13)))</f>
        <v>9.1517345525322273</v>
      </c>
      <c r="EK14" s="17">
        <f>EJ14*VLOOKUP('Données projet'!$B$15,Paramètres!$A$1:$I$89,3,0)*VLOOKUP('Données projet'!$B$15,Paramètres!$A$1:$I$89,5,0)</f>
        <v>7.9949553050921551</v>
      </c>
      <c r="EL14" s="13">
        <f t="shared" si="45"/>
        <v>2.8925462914744058</v>
      </c>
      <c r="EM14" s="20">
        <f t="shared" si="19"/>
        <v>18.962398614020092</v>
      </c>
      <c r="EN14" s="59">
        <f t="shared" si="20"/>
        <v>289.07350972513126</v>
      </c>
      <c r="EO14" s="59">
        <f ca="1">AVERAGE(OFFSET($EN$3,0,0,'Données projet'!$E$15+1,1))-AVERAGE(OFFSET($H$3,0,0,'Données projet'!$E$15+1,1))</f>
        <v>255.2813753128475</v>
      </c>
      <c r="EP14" s="59">
        <f t="shared" si="46"/>
        <v>317.03005098025352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11.19213180983215</v>
      </c>
      <c r="O15" s="13">
        <f>N15*VLOOKUP('Données projet'!$B$9,Paramètres!$A$1:$I$89,3,0)*VLOOKUP('Données projet'!$B$9,Paramètres!$A$1:$I$89,5,0)</f>
        <v>8.2060710429689312</v>
      </c>
      <c r="P15" s="13">
        <f t="shared" si="33"/>
        <v>2.9599337566005186</v>
      </c>
      <c r="Q15" s="20">
        <f t="shared" si="2"/>
        <v>19.447458359250124</v>
      </c>
      <c r="R15" s="59">
        <f t="shared" si="0"/>
        <v>290.78079169258342</v>
      </c>
      <c r="S15" s="59">
        <f ca="1">AVERAGE(OFFSET($R$3,0,0,'Données projet'!$E$9+1,1))-AVERAGE(OFFSET($H$3,0,0,'Données projet'!$E$9+1,1))</f>
        <v>193.60868637458515</v>
      </c>
      <c r="T15" s="59">
        <f t="shared" si="34"/>
        <v>272.97841038165217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10.8</v>
      </c>
      <c r="AI15" s="13">
        <f>IF('Données projet'!$A$62&gt;35,AI14+AH15-AQ14,IF(A15&lt;'Données projet'!$A$62,$AF$205^A15,IF(A15='Données projet'!$A$62,'Données projet'!$B$62,AI14+AH15-AQ14)))</f>
        <v>32.6</v>
      </c>
      <c r="AJ15" s="13">
        <f>AI15*VLOOKUP('Données projet'!$B$10,Paramètres!$A$1:$I$89,3,0)*VLOOKUP('Données projet'!$B$10,Paramètres!$A$1:$I$89,5,0)</f>
        <v>25.936560000000004</v>
      </c>
      <c r="AK15" s="13">
        <f t="shared" si="35"/>
        <v>8.1824816304360635</v>
      </c>
      <c r="AL15" s="20">
        <f t="shared" si="4"/>
        <v>59.423997506342801</v>
      </c>
      <c r="AM15" s="59">
        <f t="shared" si="5"/>
        <v>330.75733083967611</v>
      </c>
      <c r="AN15" s="59">
        <f ca="1">AVERAGE(OFFSET($AM$3,0,0,'Données projet'!$E$10+1,1))-AVERAGE(OFFSET($H$3,0,0,'Données projet'!$E$10+1,1))</f>
        <v>281.79835088425858</v>
      </c>
      <c r="AO15" s="59">
        <f t="shared" si="36"/>
        <v>345.4750813433123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299.15620406350808</v>
      </c>
      <c r="BI15" s="59">
        <f ca="1">AVERAGE(OFFSET($BH$3,0,0,'Données projet'!$E$11+1,1))-AVERAGE(OFFSET($H$3,0,0,'Données projet'!$E$11+1,1))</f>
        <v>343.6089004382095</v>
      </c>
      <c r="BJ15" s="59">
        <f t="shared" si="38"/>
        <v>278.21741231699929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2.6666666666666665</v>
      </c>
      <c r="BY15" s="12">
        <f>IF('Données projet'!$A$114&gt;35,BY14+BX15-CG14,IF(A15&lt;'Données projet'!$A$114,$BV$205^A15,IF(A15='Données projet'!$A$114,'Données projet'!$B$114,BY14+BX15-CG14)))</f>
        <v>19.127049995800721</v>
      </c>
      <c r="BZ15" s="13">
        <f>BY15*VLOOKUP('Données projet'!$B$12,Paramètres!$A$1:$I$89,3,0)*VLOOKUP('Données projet'!$B$12,Paramètres!$A$1:$I$89,5,0)</f>
        <v>14.919098996724562</v>
      </c>
      <c r="CA15" s="13">
        <f t="shared" si="39"/>
        <v>5.019622097301081</v>
      </c>
      <c r="CB15" s="20">
        <f t="shared" si="10"/>
        <v>34.726605905427995</v>
      </c>
      <c r="CC15" s="59">
        <f t="shared" si="11"/>
        <v>306.05993923876133</v>
      </c>
      <c r="CD15" s="59">
        <f ca="1">AVERAGE(OFFSET($CC$3,0,0,'Données projet'!$E$12+1,1))-AVERAGE(OFFSET($H$3,0,0,'Données projet'!$E$12+1,1))</f>
        <v>288.82868507674738</v>
      </c>
      <c r="CE15" s="59">
        <f t="shared" si="40"/>
        <v>283.48738729114024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1.6</v>
      </c>
      <c r="CT15" s="12">
        <f>IF('Données projet'!$A$140&gt;35,CT14+CS15-DB14,IF(A15&lt;'Données projet'!$A$140,$CQ$205^A15,IF(A15='Données projet'!$A$140,'Données projet'!$B$140,CT14+CS15-DB14)))</f>
        <v>7.9999999999999947</v>
      </c>
      <c r="CU15" s="17">
        <f>CT15*VLOOKUP('Données projet'!$B$13,Paramètres!$A$1:$I$89,3,0)*VLOOKUP('Données projet'!$B$13,Paramètres!$A$1:$I$89,5,0)</f>
        <v>6.8639999999999963</v>
      </c>
      <c r="CV15" s="13">
        <f t="shared" si="41"/>
        <v>2.5278525909113112</v>
      </c>
      <c r="CW15" s="20">
        <f t="shared" si="13"/>
        <v>16.357476595837191</v>
      </c>
      <c r="CX15" s="59">
        <f t="shared" si="14"/>
        <v>287.69080992917048</v>
      </c>
      <c r="CY15" s="59">
        <f ca="1">AVERAGE(OFFSET($CX$3,0,0,'Données projet'!$E$13+1,1))-AVERAGE(OFFSET($H$3,0,0,'Données projet'!$E$13+1,1))</f>
        <v>273.73158910361786</v>
      </c>
      <c r="CZ15" s="59">
        <f t="shared" si="42"/>
        <v>256.77417912163997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12.6</v>
      </c>
      <c r="DO15" s="12">
        <f>IF('Données projet'!$A$166&gt;35,DO14+DN15-DW14,IF(A15&lt;'Données projet'!$A$166,$DL$205^A15,IF(A15='Données projet'!$A$166,'Données projet'!$B$166,DO14+DN15-DW14)))</f>
        <v>66.247492298228693</v>
      </c>
      <c r="DP15" s="17">
        <f>DO15*VLOOKUP('Données projet'!$B$14,Paramètres!$A$1:$I$89,3,0)*VLOOKUP('Données projet'!$B$14,Paramètres!$A$1:$I$89,5,0)</f>
        <v>37.03234819470984</v>
      </c>
      <c r="DQ15" s="13">
        <f t="shared" si="43"/>
        <v>11.20857645282026</v>
      </c>
      <c r="DR15" s="20">
        <f t="shared" si="16"/>
        <v>84.019610427781586</v>
      </c>
      <c r="DS15" s="59">
        <f t="shared" si="17"/>
        <v>355.35294376111489</v>
      </c>
      <c r="DT15" s="59">
        <f ca="1">AVERAGE(OFFSET($DS$3,0,0,'Données projet'!$E$14+1,1))-AVERAGE(OFFSET($H$3,0,0,'Données projet'!$E$14+1,1))</f>
        <v>534.78683721545372</v>
      </c>
      <c r="DU15" s="59">
        <f t="shared" si="44"/>
        <v>710.59298755711075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2.8</v>
      </c>
      <c r="EJ15" s="12">
        <f>IF('Données projet'!$A$192&gt;35,EJ14+EI15-ER14,IF(A15&lt;'Données projet'!$A$192,$EG$205^A15,IF(A15='Données projet'!$A$192,'Données projet'!$B$192,EJ14+EI15-ER14)))</f>
        <v>11.19213180983215</v>
      </c>
      <c r="EK15" s="17">
        <f>EJ15*VLOOKUP('Données projet'!$B$15,Paramètres!$A$1:$I$89,3,0)*VLOOKUP('Données projet'!$B$15,Paramètres!$A$1:$I$89,5,0)</f>
        <v>9.7774463490693666</v>
      </c>
      <c r="EL15" s="13">
        <f t="shared" si="45"/>
        <v>3.4555347523868787</v>
      </c>
      <c r="EM15" s="20">
        <f t="shared" si="19"/>
        <v>23.047442085036295</v>
      </c>
      <c r="EN15" s="59">
        <f t="shared" si="20"/>
        <v>294.38077541836958</v>
      </c>
      <c r="EO15" s="59">
        <f ca="1">AVERAGE(OFFSET($EN$3,0,0,'Données projet'!$E$15+1,1))-AVERAGE(OFFSET($H$3,0,0,'Données projet'!$E$15+1,1))</f>
        <v>255.2813753128475</v>
      </c>
      <c r="EP15" s="59">
        <f t="shared" si="46"/>
        <v>317.03005098025352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13.687439657435972</v>
      </c>
      <c r="O16" s="13">
        <f>N16*VLOOKUP('Données projet'!$B$9,Paramètres!$A$1:$I$89,3,0)*VLOOKUP('Données projet'!$B$9,Paramètres!$A$1:$I$89,5,0)</f>
        <v>10.035630756832054</v>
      </c>
      <c r="P16" s="13">
        <f t="shared" si="33"/>
        <v>3.5360381235187024</v>
      </c>
      <c r="Q16" s="20">
        <f t="shared" si="2"/>
        <v>23.637323299944232</v>
      </c>
      <c r="R16" s="59">
        <f t="shared" si="0"/>
        <v>296.19287885549977</v>
      </c>
      <c r="S16" s="59">
        <f ca="1">AVERAGE(OFFSET($R$3,0,0,'Données projet'!$E$9+1,1))-AVERAGE(OFFSET($H$3,0,0,'Données projet'!$E$9+1,1))</f>
        <v>193.60868637458515</v>
      </c>
      <c r="T16" s="59">
        <f t="shared" si="34"/>
        <v>272.97841038165217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10.8</v>
      </c>
      <c r="AI16" s="13">
        <f>IF('Données projet'!$A$62&gt;35,AI15+AH16-AQ15,IF(A16&lt;'Données projet'!$A$62,$AF$205^A16,IF(A16='Données projet'!$A$62,'Données projet'!$B$62,AI15+AH16-AQ15)))</f>
        <v>43.400000000000006</v>
      </c>
      <c r="AJ16" s="13">
        <f>AI16*VLOOKUP('Données projet'!$B$10,Paramètres!$A$1:$I$89,3,0)*VLOOKUP('Données projet'!$B$10,Paramètres!$A$1:$I$89,5,0)</f>
        <v>34.529040000000009</v>
      </c>
      <c r="AK16" s="13">
        <f t="shared" si="35"/>
        <v>10.536391336679102</v>
      </c>
      <c r="AL16" s="20">
        <f t="shared" si="4"/>
        <v>78.488959578049446</v>
      </c>
      <c r="AM16" s="59">
        <f t="shared" si="5"/>
        <v>351.04451513360499</v>
      </c>
      <c r="AN16" s="59">
        <f ca="1">AVERAGE(OFFSET($AM$3,0,0,'Données projet'!$E$10+1,1))-AVERAGE(OFFSET($H$3,0,0,'Données projet'!$E$10+1,1))</f>
        <v>281.79835088425858</v>
      </c>
      <c r="AO16" s="59">
        <f t="shared" si="36"/>
        <v>345.4750813433123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306.81726343399242</v>
      </c>
      <c r="BI16" s="59">
        <f ca="1">AVERAGE(OFFSET($BH$3,0,0,'Données projet'!$E$11+1,1))-AVERAGE(OFFSET($H$3,0,0,'Données projet'!$E$11+1,1))</f>
        <v>343.6089004382095</v>
      </c>
      <c r="BJ16" s="59">
        <f t="shared" si="38"/>
        <v>278.21741231699929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2.6666666666666665</v>
      </c>
      <c r="BY16" s="12">
        <f>IF('Données projet'!$A$114&gt;35,BY15+BX16-CG15,IF(A16&lt;'Données projet'!$A$114,$BV$205^A16,IF(A16='Données projet'!$A$114,'Données projet'!$B$114,BY15+BX16-CG15)))</f>
        <v>24.459748796430759</v>
      </c>
      <c r="BZ16" s="13">
        <f>BY16*VLOOKUP('Données projet'!$B$12,Paramètres!$A$1:$I$89,3,0)*VLOOKUP('Données projet'!$B$12,Paramètres!$A$1:$I$89,5,0)</f>
        <v>19.078604061215994</v>
      </c>
      <c r="CA16" s="13">
        <f t="shared" si="39"/>
        <v>6.2379664748280286</v>
      </c>
      <c r="CB16" s="20">
        <f t="shared" si="10"/>
        <v>44.093027016943331</v>
      </c>
      <c r="CC16" s="59">
        <f t="shared" si="11"/>
        <v>316.64858257249887</v>
      </c>
      <c r="CD16" s="59">
        <f ca="1">AVERAGE(OFFSET($CC$3,0,0,'Données projet'!$E$12+1,1))-AVERAGE(OFFSET($H$3,0,0,'Données projet'!$E$12+1,1))</f>
        <v>288.82868507674738</v>
      </c>
      <c r="CE16" s="59">
        <f t="shared" si="40"/>
        <v>283.48738729114024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1.6</v>
      </c>
      <c r="CT16" s="12">
        <f>IF('Données projet'!$A$140&gt;35,CT15+CS16-DB15,IF(A16&lt;'Données projet'!$A$140,$CQ$205^A16,IF(A16='Données projet'!$A$140,'Données projet'!$B$140,CT15+CS16-DB15)))</f>
        <v>9.5136569200217629</v>
      </c>
      <c r="CU16" s="17">
        <f>CT16*VLOOKUP('Données projet'!$B$13,Paramètres!$A$1:$I$89,3,0)*VLOOKUP('Données projet'!$B$13,Paramètres!$A$1:$I$89,5,0)</f>
        <v>8.1627176373786732</v>
      </c>
      <c r="CV16" s="13">
        <f t="shared" si="41"/>
        <v>2.946112121509751</v>
      </c>
      <c r="CW16" s="20">
        <f t="shared" si="13"/>
        <v>19.347878496730672</v>
      </c>
      <c r="CX16" s="59">
        <f t="shared" si="14"/>
        <v>291.90343405228623</v>
      </c>
      <c r="CY16" s="59">
        <f ca="1">AVERAGE(OFFSET($CX$3,0,0,'Données projet'!$E$13+1,1))-AVERAGE(OFFSET($H$3,0,0,'Données projet'!$E$13+1,1))</f>
        <v>273.73158910361786</v>
      </c>
      <c r="CZ16" s="59">
        <f t="shared" si="42"/>
        <v>256.77417912163997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12.6</v>
      </c>
      <c r="DO16" s="12">
        <f>IF('Données projet'!$A$166&gt;35,DO15+DN16-DW15,IF(A16&lt;'Données projet'!$A$166,$DL$205^A16,IF(A16='Données projet'!$A$166,'Données projet'!$B$166,DO15+DN16-DW15)))</f>
        <v>93.957956698619185</v>
      </c>
      <c r="DP16" s="17">
        <f>DO16*VLOOKUP('Données projet'!$B$14,Paramètres!$A$1:$I$89,3,0)*VLOOKUP('Données projet'!$B$14,Paramètres!$A$1:$I$89,5,0)</f>
        <v>52.522497794528128</v>
      </c>
      <c r="DQ16" s="13">
        <f t="shared" si="43"/>
        <v>15.263327932294025</v>
      </c>
      <c r="DR16" s="20">
        <f t="shared" si="16"/>
        <v>118.06031314088193</v>
      </c>
      <c r="DS16" s="59">
        <f t="shared" si="17"/>
        <v>390.61586869643747</v>
      </c>
      <c r="DT16" s="59">
        <f ca="1">AVERAGE(OFFSET($DS$3,0,0,'Données projet'!$E$14+1,1))-AVERAGE(OFFSET($H$3,0,0,'Données projet'!$E$14+1,1))</f>
        <v>534.78683721545372</v>
      </c>
      <c r="DU16" s="59">
        <f t="shared" si="44"/>
        <v>710.59298755711075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2.8</v>
      </c>
      <c r="EJ16" s="12">
        <f>IF('Données projet'!$A$192&gt;35,EJ15+EI16-ER15,IF(A16&lt;'Données projet'!$A$192,$EG$205^A16,IF(A16='Données projet'!$A$192,'Données projet'!$B$192,EJ15+EI16-ER15)))</f>
        <v>13.687439657435972</v>
      </c>
      <c r="EK16" s="17">
        <f>EJ16*VLOOKUP('Données projet'!$B$15,Paramètres!$A$1:$I$89,3,0)*VLOOKUP('Données projet'!$B$15,Paramètres!$A$1:$I$89,5,0)</f>
        <v>11.957347284736066</v>
      </c>
      <c r="EL16" s="13">
        <f t="shared" si="45"/>
        <v>4.128100027352354</v>
      </c>
      <c r="EM16" s="20">
        <f t="shared" si="19"/>
        <v>28.015487401887327</v>
      </c>
      <c r="EN16" s="59">
        <f t="shared" si="20"/>
        <v>300.57104295744284</v>
      </c>
      <c r="EO16" s="59">
        <f ca="1">AVERAGE(OFFSET($EN$3,0,0,'Données projet'!$E$15+1,1))-AVERAGE(OFFSET($H$3,0,0,'Données projet'!$E$15+1,1))</f>
        <v>255.2813753128475</v>
      </c>
      <c r="EP16" s="59">
        <f t="shared" si="46"/>
        <v>317.03005098025352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16.739081308117708</v>
      </c>
      <c r="O17" s="13">
        <f>N17*VLOOKUP('Données projet'!$B$9,Paramètres!$A$1:$I$89,3,0)*VLOOKUP('Données projet'!$B$9,Paramètres!$A$1:$I$89,5,0)</f>
        <v>12.273094415111903</v>
      </c>
      <c r="P17" s="13">
        <f t="shared" si="33"/>
        <v>4.2242721084873178</v>
      </c>
      <c r="Q17" s="20">
        <f t="shared" si="2"/>
        <v>28.732913361935303</v>
      </c>
      <c r="R17" s="59">
        <f t="shared" si="0"/>
        <v>302.51069113971306</v>
      </c>
      <c r="S17" s="59">
        <f ca="1">AVERAGE(OFFSET($R$3,0,0,'Données projet'!$E$9+1,1))-AVERAGE(OFFSET($H$3,0,0,'Données projet'!$E$9+1,1))</f>
        <v>193.60868637458515</v>
      </c>
      <c r="T17" s="59">
        <f t="shared" si="34"/>
        <v>272.97841038165217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10.8</v>
      </c>
      <c r="AI17" s="13">
        <f>IF('Données projet'!$A$62&gt;35,AI16+AH17-AQ16,IF(A17&lt;'Données projet'!$A$62,$AF$205^A17,IF(A17='Données projet'!$A$62,'Données projet'!$B$62,AI16+AH17-AQ16)))</f>
        <v>54.2</v>
      </c>
      <c r="AJ17" s="13">
        <f>AI17*VLOOKUP('Données projet'!$B$10,Paramètres!$A$1:$I$89,3,0)*VLOOKUP('Données projet'!$B$10,Paramètres!$A$1:$I$89,5,0)</f>
        <v>43.121520000000004</v>
      </c>
      <c r="AK17" s="13">
        <f t="shared" si="35"/>
        <v>12.822353245070515</v>
      </c>
      <c r="AL17" s="20">
        <f t="shared" si="4"/>
        <v>97.435579235164482</v>
      </c>
      <c r="AM17" s="59">
        <f t="shared" si="5"/>
        <v>371.21335701294225</v>
      </c>
      <c r="AN17" s="59">
        <f ca="1">AVERAGE(OFFSET($AM$3,0,0,'Données projet'!$E$10+1,1))-AVERAGE(OFFSET($H$3,0,0,'Données projet'!$E$10+1,1))</f>
        <v>281.79835088425858</v>
      </c>
      <c r="AO17" s="59">
        <f t="shared" si="36"/>
        <v>345.4750813433123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315.9733740744461</v>
      </c>
      <c r="BI17" s="59">
        <f ca="1">AVERAGE(OFFSET($BH$3,0,0,'Données projet'!$E$11+1,1))-AVERAGE(OFFSET($H$3,0,0,'Données projet'!$E$11+1,1))</f>
        <v>343.6089004382095</v>
      </c>
      <c r="BJ17" s="59">
        <f t="shared" si="38"/>
        <v>278.21741231699929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2.6666666666666665</v>
      </c>
      <c r="BY17" s="12">
        <f>IF('Données projet'!$A$114&gt;35,BY16+BX17-CG16,IF(A17&lt;'Données projet'!$A$114,$BV$205^A17,IF(A17='Données projet'!$A$114,'Données projet'!$B$114,BY16+BX17-CG16)))</f>
        <v>31.279225563578599</v>
      </c>
      <c r="BZ17" s="13">
        <f>BY17*VLOOKUP('Données projet'!$B$12,Paramètres!$A$1:$I$89,3,0)*VLOOKUP('Données projet'!$B$12,Paramètres!$A$1:$I$89,5,0)</f>
        <v>24.397795939591308</v>
      </c>
      <c r="CA17" s="13">
        <f t="shared" si="39"/>
        <v>7.75202295846145</v>
      </c>
      <c r="CB17" s="20">
        <f t="shared" si="10"/>
        <v>55.994267914108548</v>
      </c>
      <c r="CC17" s="59">
        <f t="shared" si="11"/>
        <v>329.77204569188632</v>
      </c>
      <c r="CD17" s="59">
        <f ca="1">AVERAGE(OFFSET($CC$3,0,0,'Données projet'!$E$12+1,1))-AVERAGE(OFFSET($H$3,0,0,'Données projet'!$E$12+1,1))</f>
        <v>288.82868507674738</v>
      </c>
      <c r="CE17" s="59">
        <f t="shared" si="40"/>
        <v>283.48738729114024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1.6</v>
      </c>
      <c r="CT17" s="12">
        <f>IF('Données projet'!$A$140&gt;35,CT16+CS17-DB16,IF(A17&lt;'Données projet'!$A$140,$CQ$205^A17,IF(A17='Données projet'!$A$140,'Données projet'!$B$140,CT16+CS17-DB16)))</f>
        <v>11.313708498984752</v>
      </c>
      <c r="CU17" s="17">
        <f>CT17*VLOOKUP('Données projet'!$B$13,Paramètres!$A$1:$I$89,3,0)*VLOOKUP('Données projet'!$B$13,Paramètres!$A$1:$I$89,5,0)</f>
        <v>9.7071618921289176</v>
      </c>
      <c r="CV17" s="13">
        <f t="shared" si="41"/>
        <v>3.433577046269785</v>
      </c>
      <c r="CW17" s="20">
        <f t="shared" si="13"/>
        <v>22.886786984377736</v>
      </c>
      <c r="CX17" s="59">
        <f t="shared" si="14"/>
        <v>296.66456476215552</v>
      </c>
      <c r="CY17" s="59">
        <f ca="1">AVERAGE(OFFSET($CX$3,0,0,'Données projet'!$E$13+1,1))-AVERAGE(OFFSET($H$3,0,0,'Données projet'!$E$13+1,1))</f>
        <v>273.73158910361786</v>
      </c>
      <c r="CZ17" s="59">
        <f t="shared" si="42"/>
        <v>256.77417912163997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12.6</v>
      </c>
      <c r="DO17" s="12">
        <f>IF('Données projet'!$A$166&gt;35,DO16+DN17-DW16,IF(A17&lt;'Données projet'!$A$166,$DL$205^A17,IF(A17='Données projet'!$A$166,'Données projet'!$B$166,DO16+DN17-DW16)))</f>
        <v>133.25934794992446</v>
      </c>
      <c r="DP17" s="17">
        <f>DO17*VLOOKUP('Données projet'!$B$14,Paramètres!$A$1:$I$89,3,0)*VLOOKUP('Données projet'!$B$14,Paramètres!$A$1:$I$89,5,0)</f>
        <v>74.491975504007769</v>
      </c>
      <c r="DQ17" s="13">
        <f t="shared" si="43"/>
        <v>20.784903466499365</v>
      </c>
      <c r="DR17" s="20">
        <f t="shared" si="16"/>
        <v>165.9405642069666</v>
      </c>
      <c r="DS17" s="59">
        <f t="shared" si="17"/>
        <v>439.71834198474437</v>
      </c>
      <c r="DT17" s="59">
        <f ca="1">AVERAGE(OFFSET($DS$3,0,0,'Données projet'!$E$14+1,1))-AVERAGE(OFFSET($H$3,0,0,'Données projet'!$E$14+1,1))</f>
        <v>534.78683721545372</v>
      </c>
      <c r="DU17" s="59">
        <f t="shared" si="44"/>
        <v>710.59298755711075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2.8</v>
      </c>
      <c r="EJ17" s="12">
        <f>IF('Données projet'!$A$192&gt;35,EJ16+EI17-ER16,IF(A17&lt;'Données projet'!$A$192,$EG$205^A17,IF(A17='Données projet'!$A$192,'Données projet'!$B$192,EJ16+EI17-ER16)))</f>
        <v>16.739081308117708</v>
      </c>
      <c r="EK17" s="17">
        <f>EJ17*VLOOKUP('Données projet'!$B$15,Paramètres!$A$1:$I$89,3,0)*VLOOKUP('Données projet'!$B$15,Paramètres!$A$1:$I$89,5,0)</f>
        <v>14.623261430771633</v>
      </c>
      <c r="EL17" s="13">
        <f t="shared" si="45"/>
        <v>4.9315695129546731</v>
      </c>
      <c r="EM17" s="20">
        <f t="shared" si="19"/>
        <v>34.057997226989983</v>
      </c>
      <c r="EN17" s="59">
        <f t="shared" si="20"/>
        <v>307.83577500476775</v>
      </c>
      <c r="EO17" s="59">
        <f ca="1">AVERAGE(OFFSET($EN$3,0,0,'Données projet'!$E$15+1,1))-AVERAGE(OFFSET($H$3,0,0,'Données projet'!$E$15+1,1))</f>
        <v>255.2813753128475</v>
      </c>
      <c r="EP17" s="59">
        <f t="shared" si="46"/>
        <v>317.03005098025352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20.471092479852732</v>
      </c>
      <c r="O18" s="13">
        <f>N18*VLOOKUP('Données projet'!$B$9,Paramètres!$A$1:$I$89,3,0)*VLOOKUP('Données projet'!$B$9,Paramètres!$A$1:$I$89,5,0)</f>
        <v>15.009405006228024</v>
      </c>
      <c r="P18" s="13">
        <f t="shared" si="33"/>
        <v>5.0464599710782805</v>
      </c>
      <c r="Q18" s="20">
        <f t="shared" si="2"/>
        <v>34.930631502141807</v>
      </c>
      <c r="R18" s="59">
        <f t="shared" si="0"/>
        <v>309.93063150214181</v>
      </c>
      <c r="S18" s="59">
        <f ca="1">AVERAGE(OFFSET($R$3,0,0,'Données projet'!$E$9+1,1))-AVERAGE(OFFSET($H$3,0,0,'Données projet'!$E$9+1,1))</f>
        <v>193.60868637458515</v>
      </c>
      <c r="T18" s="59">
        <f t="shared" si="34"/>
        <v>272.97841038165217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65</v>
      </c>
      <c r="AG18" s="12">
        <f>VLOOKUP(A18,'Données projet'!$A$61:$I$81,9,0)</f>
        <v>10.8</v>
      </c>
      <c r="AH18" s="12">
        <f t="array" ref="AH18">INDEX(AG:AG,MIN(IF(ISNUMBER(AG18:AG214),ROW(AG18:AG214),"")))</f>
        <v>10.8</v>
      </c>
      <c r="AI18" s="13">
        <f>IF('Données projet'!$A$62&gt;35,AI17+AH18-AQ17,IF(A18&lt;'Données projet'!$A$62,$AF$205^A18,IF(A18='Données projet'!$A$62,'Données projet'!$B$62,AI17+AH18-AQ17)))</f>
        <v>65</v>
      </c>
      <c r="AJ18" s="13">
        <f>AI18*VLOOKUP('Données projet'!$B$10,Paramètres!$A$1:$I$89,3,0)*VLOOKUP('Données projet'!$B$10,Paramètres!$A$1:$I$89,5,0)</f>
        <v>51.713999999999999</v>
      </c>
      <c r="AK18" s="13">
        <f t="shared" si="35"/>
        <v>15.055535578337075</v>
      </c>
      <c r="AL18" s="20">
        <f t="shared" si="4"/>
        <v>116.29027446560372</v>
      </c>
      <c r="AM18" s="59">
        <f t="shared" si="5"/>
        <v>391.29027446560372</v>
      </c>
      <c r="AN18" s="59">
        <f ca="1">AVERAGE(OFFSET($AM$3,0,0,'Données projet'!$E$10+1,1))-AVERAGE(OFFSET($H$3,0,0,'Données projet'!$E$10+1,1))</f>
        <v>281.79835088425858</v>
      </c>
      <c r="AO18" s="59">
        <f t="shared" si="36"/>
        <v>345.4750813433123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32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326.97274628871452</v>
      </c>
      <c r="BI18" s="59">
        <f ca="1">AVERAGE(OFFSET($BH$3,0,0,'Données projet'!$E$11+1,1))-AVERAGE(OFFSET($H$3,0,0,'Données projet'!$E$11+1,1))</f>
        <v>343.6089004382095</v>
      </c>
      <c r="BJ18" s="59">
        <f t="shared" si="38"/>
        <v>278.21741231699929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40</v>
      </c>
      <c r="BW18" s="12">
        <f>VLOOKUP(A18,'Données projet'!$A$113:$I$133,9,0)</f>
        <v>2.6666666666666665</v>
      </c>
      <c r="BX18" s="12">
        <f t="array" ref="BX18">INDEX(BW:BW,MIN(IF(ISNUMBER(BW18:BW214),ROW(BW18:BW214),"")))</f>
        <v>2.6666666666666665</v>
      </c>
      <c r="BY18" s="12">
        <f>IF('Données projet'!$A$114&gt;35,BY17+BX18-CG17,IF(A18&lt;'Données projet'!$A$114,$BV$205^A18,IF(A18='Données projet'!$A$114,'Données projet'!$B$114,BY17+BX18-CG17)))</f>
        <v>40</v>
      </c>
      <c r="BZ18" s="13">
        <f>BY18*VLOOKUP('Données projet'!$B$12,Paramètres!$A$1:$I$89,3,0)*VLOOKUP('Données projet'!$B$12,Paramètres!$A$1:$I$89,5,0)</f>
        <v>31.200000000000003</v>
      </c>
      <c r="CA18" s="13">
        <f t="shared" si="39"/>
        <v>9.6335657126419925</v>
      </c>
      <c r="CB18" s="20">
        <f t="shared" si="10"/>
        <v>71.118460282851473</v>
      </c>
      <c r="CC18" s="59">
        <f t="shared" si="11"/>
        <v>346.11846028285146</v>
      </c>
      <c r="CD18" s="59">
        <f ca="1">AVERAGE(OFFSET($CC$3,0,0,'Données projet'!$E$12+1,1))-AVERAGE(OFFSET($H$3,0,0,'Données projet'!$E$12+1,1))</f>
        <v>288.82868507674738</v>
      </c>
      <c r="CE18" s="59">
        <f t="shared" si="40"/>
        <v>283.48738729114024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1.6</v>
      </c>
      <c r="CT18" s="12">
        <f>IF('Données projet'!$A$140&gt;35,CT17+CS18-DB17,IF(A18&lt;'Données projet'!$A$140,$CQ$205^A18,IF(A18='Données projet'!$A$140,'Données projet'!$B$140,CT17+CS18-DB17)))</f>
        <v>13.454342644059421</v>
      </c>
      <c r="CU18" s="17">
        <f>CT18*VLOOKUP('Données projet'!$B$13,Paramètres!$A$1:$I$89,3,0)*VLOOKUP('Données projet'!$B$13,Paramètres!$A$1:$I$89,5,0)</f>
        <v>11.543825988602984</v>
      </c>
      <c r="CV18" s="13">
        <f t="shared" si="41"/>
        <v>4.0016981182064377</v>
      </c>
      <c r="CW18" s="20">
        <f t="shared" si="13"/>
        <v>27.075121152693075</v>
      </c>
      <c r="CX18" s="59">
        <f t="shared" si="14"/>
        <v>302.0751211526931</v>
      </c>
      <c r="CY18" s="59">
        <f ca="1">AVERAGE(OFFSET($CX$3,0,0,'Données projet'!$E$13+1,1))-AVERAGE(OFFSET($H$3,0,0,'Données projet'!$E$13+1,1))</f>
        <v>273.73158910361786</v>
      </c>
      <c r="CZ18" s="59">
        <f t="shared" si="42"/>
        <v>256.77417912163997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189</v>
      </c>
      <c r="DM18" s="12">
        <f>VLOOKUP(A18,'Données projet'!$A$165:$I$185,9,0)</f>
        <v>12.6</v>
      </c>
      <c r="DN18" s="12">
        <f t="array" ref="DN18">INDEX(DM:DM,MIN(IF(ISNUMBER(DM18:DM214),ROW(DM18:DM214),"")))</f>
        <v>12.6</v>
      </c>
      <c r="DO18" s="12">
        <f>IF('Données projet'!$A$166&gt;35,DO17+DN18-DW17,IF(A18&lt;'Données projet'!$A$166,$DL$205^A18,IF(A18='Données projet'!$A$166,'Données projet'!$B$166,DO17+DN18-DW17)))</f>
        <v>189</v>
      </c>
      <c r="DP18" s="17">
        <f>DO18*VLOOKUP('Données projet'!$B$14,Paramètres!$A$1:$I$89,3,0)*VLOOKUP('Données projet'!$B$14,Paramètres!$A$1:$I$89,5,0)</f>
        <v>105.651</v>
      </c>
      <c r="DQ18" s="13">
        <f t="shared" si="43"/>
        <v>28.303933062831547</v>
      </c>
      <c r="DR18" s="20">
        <f t="shared" si="16"/>
        <v>233.30484175109825</v>
      </c>
      <c r="DS18" s="59">
        <f t="shared" si="17"/>
        <v>508.30484175109825</v>
      </c>
      <c r="DT18" s="59">
        <f ca="1">AVERAGE(OFFSET($DS$3,0,0,'Données projet'!$E$14+1,1))-AVERAGE(OFFSET($H$3,0,0,'Données projet'!$E$14+1,1))</f>
        <v>534.78683721545372</v>
      </c>
      <c r="DU18" s="59">
        <f t="shared" si="44"/>
        <v>710.59298755711075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2.8</v>
      </c>
      <c r="EJ18" s="12">
        <f>IF('Données projet'!$A$192&gt;35,EJ17+EI18-ER17,IF(A18&lt;'Données projet'!$A$192,$EG$205^A18,IF(A18='Données projet'!$A$192,'Données projet'!$B$192,EJ17+EI18-ER17)))</f>
        <v>20.471092479852732</v>
      </c>
      <c r="EK18" s="17">
        <f>EJ18*VLOOKUP('Données projet'!$B$15,Paramètres!$A$1:$I$89,3,0)*VLOOKUP('Données projet'!$B$15,Paramètres!$A$1:$I$89,5,0)</f>
        <v>17.883546390399349</v>
      </c>
      <c r="EL18" s="13">
        <f t="shared" si="45"/>
        <v>5.8914216467526801</v>
      </c>
      <c r="EM18" s="20">
        <f t="shared" si="19"/>
        <v>41.40806933137312</v>
      </c>
      <c r="EN18" s="59">
        <f t="shared" si="20"/>
        <v>316.4080693313731</v>
      </c>
      <c r="EO18" s="59">
        <f ca="1">AVERAGE(OFFSET($EN$3,0,0,'Données projet'!$E$15+1,1))-AVERAGE(OFFSET($H$3,0,0,'Données projet'!$E$15+1,1))</f>
        <v>255.2813753128475</v>
      </c>
      <c r="EP18" s="59">
        <f t="shared" si="46"/>
        <v>317.03005098025352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25.035162898423533</v>
      </c>
      <c r="O19" s="13">
        <f>N19*VLOOKUP('Données projet'!$B$9,Paramètres!$A$1:$I$89,3,0)*VLOOKUP('Données projet'!$B$9,Paramètres!$A$1:$I$89,5,0)</f>
        <v>18.355781437124133</v>
      </c>
      <c r="P19" s="13">
        <f t="shared" si="33"/>
        <v>6.0286737183734314</v>
      </c>
      <c r="Q19" s="20">
        <f t="shared" si="2"/>
        <v>42.469592729158251</v>
      </c>
      <c r="R19" s="59">
        <f t="shared" si="0"/>
        <v>318.69181495138048</v>
      </c>
      <c r="S19" s="59">
        <f ca="1">AVERAGE(OFFSET($R$3,0,0,'Données projet'!$E$9+1,1))-AVERAGE(OFFSET($H$3,0,0,'Données projet'!$E$9+1,1))</f>
        <v>193.60868637458515</v>
      </c>
      <c r="T19" s="59">
        <f t="shared" si="34"/>
        <v>272.97841038165217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13.8</v>
      </c>
      <c r="AI19" s="13">
        <f>IF('Données projet'!$A$62&gt;35,AI18+AH19-AQ18,IF(A19&lt;'Données projet'!$A$62,$AF$205^A19,IF(A19='Données projet'!$A$62,'Données projet'!$B$62,AI18+AH19-AQ18)))</f>
        <v>46.8</v>
      </c>
      <c r="AJ19" s="13">
        <f>AI19*VLOOKUP('Données projet'!$B$10,Paramètres!$A$1:$I$89,3,0)*VLOOKUP('Données projet'!$B$10,Paramètres!$A$1:$I$89,5,0)</f>
        <v>37.234079999999999</v>
      </c>
      <c r="AK19" s="13">
        <f t="shared" si="35"/>
        <v>11.262510356679771</v>
      </c>
      <c r="AL19" s="20">
        <f t="shared" si="4"/>
        <v>84.464894871217254</v>
      </c>
      <c r="AM19" s="59">
        <f t="shared" si="5"/>
        <v>360.6871170934395</v>
      </c>
      <c r="AN19" s="59">
        <f ca="1">AVERAGE(OFFSET($AM$3,0,0,'Données projet'!$E$10+1,1))-AVERAGE(OFFSET($H$3,0,0,'Données projet'!$E$10+1,1))</f>
        <v>281.79835088425858</v>
      </c>
      <c r="AO19" s="59">
        <f t="shared" si="36"/>
        <v>345.4750813433123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340.24492173474681</v>
      </c>
      <c r="BI19" s="59">
        <f ca="1">AVERAGE(OFFSET($BH$3,0,0,'Données projet'!$E$11+1,1))-AVERAGE(OFFSET($H$3,0,0,'Données projet'!$E$11+1,1))</f>
        <v>343.6089004382095</v>
      </c>
      <c r="BJ19" s="59">
        <f t="shared" si="38"/>
        <v>278.21741231699929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46.6</v>
      </c>
      <c r="BZ19" s="13">
        <f>BY19*VLOOKUP('Données projet'!$B$12,Paramètres!$A$1:$I$89,3,0)*VLOOKUP('Données projet'!$B$12,Paramètres!$A$1:$I$89,5,0)</f>
        <v>36.347999999999999</v>
      </c>
      <c r="CA19" s="13">
        <f t="shared" si="39"/>
        <v>11.025356771848859</v>
      </c>
      <c r="CB19" s="20">
        <f t="shared" si="10"/>
        <v>82.508596377636763</v>
      </c>
      <c r="CC19" s="59">
        <f t="shared" si="11"/>
        <v>358.73081859985899</v>
      </c>
      <c r="CD19" s="59">
        <f ca="1">AVERAGE(OFFSET($CC$3,0,0,'Données projet'!$E$12+1,1))-AVERAGE(OFFSET($H$3,0,0,'Données projet'!$E$12+1,1))</f>
        <v>288.82868507674738</v>
      </c>
      <c r="CE19" s="59">
        <f t="shared" si="40"/>
        <v>283.48738729114024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1.6</v>
      </c>
      <c r="CT19" s="12">
        <f>IF('Données projet'!$A$140&gt;35,CT18+CS19-DB18,IF(A19&lt;'Données projet'!$A$140,$CQ$205^A19,IF(A19='Données projet'!$A$140,'Données projet'!$B$140,CT18+CS19-DB18)))</f>
        <v>15.999999999999986</v>
      </c>
      <c r="CU19" s="17">
        <f>CT19*VLOOKUP('Données projet'!$B$13,Paramètres!$A$1:$I$89,3,0)*VLOOKUP('Données projet'!$B$13,Paramètres!$A$1:$I$89,5,0)</f>
        <v>13.727999999999991</v>
      </c>
      <c r="CV19" s="13">
        <f t="shared" si="41"/>
        <v>4.6638207366437268</v>
      </c>
      <c r="CW19" s="20">
        <f t="shared" si="13"/>
        <v>32.032421116321139</v>
      </c>
      <c r="CX19" s="59">
        <f t="shared" si="14"/>
        <v>308.25464333854336</v>
      </c>
      <c r="CY19" s="59">
        <f ca="1">AVERAGE(OFFSET($CX$3,0,0,'Données projet'!$E$13+1,1))-AVERAGE(OFFSET($H$3,0,0,'Données projet'!$E$13+1,1))</f>
        <v>273.73158910361786</v>
      </c>
      <c r="CZ19" s="59">
        <f t="shared" si="42"/>
        <v>256.77417912163997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28.4</v>
      </c>
      <c r="DO19" s="12">
        <f>IF('Données projet'!$A$166&gt;35,DO18+DN19-DW18,IF(A19&lt;'Données projet'!$A$166,$DL$205^A19,IF(A19='Données projet'!$A$166,'Données projet'!$B$166,DO18+DN19-DW18)))</f>
        <v>217.4</v>
      </c>
      <c r="DP19" s="17">
        <f>DO19*VLOOKUP('Données projet'!$B$14,Paramètres!$A$1:$I$89,3,0)*VLOOKUP('Données projet'!$B$14,Paramètres!$A$1:$I$89,5,0)</f>
        <v>121.5266</v>
      </c>
      <c r="DQ19" s="13">
        <f t="shared" si="43"/>
        <v>32.030791291183803</v>
      </c>
      <c r="DR19" s="20">
        <f t="shared" si="16"/>
        <v>267.44578983214518</v>
      </c>
      <c r="DS19" s="59">
        <f t="shared" si="17"/>
        <v>543.66801205436741</v>
      </c>
      <c r="DT19" s="59">
        <f ca="1">AVERAGE(OFFSET($DS$3,0,0,'Données projet'!$E$14+1,1))-AVERAGE(OFFSET($H$3,0,0,'Données projet'!$E$14+1,1))</f>
        <v>534.78683721545372</v>
      </c>
      <c r="DU19" s="59">
        <f t="shared" si="44"/>
        <v>710.59298755711075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2.8</v>
      </c>
      <c r="EJ19" s="12">
        <f>IF('Données projet'!$A$192&gt;35,EJ18+EI19-ER18,IF(A19&lt;'Données projet'!$A$192,$EG$205^A19,IF(A19='Données projet'!$A$192,'Données projet'!$B$192,EJ18+EI19-ER18)))</f>
        <v>25.035162898423533</v>
      </c>
      <c r="EK19" s="17">
        <f>EJ19*VLOOKUP('Données projet'!$B$15,Paramètres!$A$1:$I$89,3,0)*VLOOKUP('Données projet'!$B$15,Paramètres!$A$1:$I$89,5,0)</f>
        <v>21.870718308062802</v>
      </c>
      <c r="EL19" s="13">
        <f t="shared" si="45"/>
        <v>7.0380938418590411</v>
      </c>
      <c r="EM19" s="20">
        <f t="shared" si="19"/>
        <v>50.349514494447213</v>
      </c>
      <c r="EN19" s="59">
        <f t="shared" si="20"/>
        <v>326.57173671666942</v>
      </c>
      <c r="EO19" s="59">
        <f ca="1">AVERAGE(OFFSET($EN$3,0,0,'Données projet'!$E$15+1,1))-AVERAGE(OFFSET($H$3,0,0,'Données projet'!$E$15+1,1))</f>
        <v>255.2813753128475</v>
      </c>
      <c r="EP19" s="59">
        <f t="shared" si="46"/>
        <v>317.03005098025352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30.61680181296855</v>
      </c>
      <c r="O20" s="13">
        <f>N20*VLOOKUP('Données projet'!$B$9,Paramètres!$A$1:$I$89,3,0)*VLOOKUP('Données projet'!$B$9,Paramètres!$A$1:$I$89,5,0)</f>
        <v>22.44823908926854</v>
      </c>
      <c r="P20" s="13">
        <f t="shared" si="33"/>
        <v>7.2020598619433178</v>
      </c>
      <c r="Q20" s="20">
        <f t="shared" si="2"/>
        <v>51.640937340027314</v>
      </c>
      <c r="R20" s="59">
        <f t="shared" si="0"/>
        <v>329.08538178447179</v>
      </c>
      <c r="S20" s="59">
        <f ca="1">AVERAGE(OFFSET($R$3,0,0,'Données projet'!$E$9+1,1))-AVERAGE(OFFSET($H$3,0,0,'Données projet'!$E$9+1,1))</f>
        <v>193.60868637458515</v>
      </c>
      <c r="T20" s="59">
        <f t="shared" si="34"/>
        <v>272.97841038165217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13.8</v>
      </c>
      <c r="AI20" s="13">
        <f>IF('Données projet'!$A$62&gt;35,AI19+AH20-AQ19,IF(A20&lt;'Données projet'!$A$62,$AF$205^A20,IF(A20='Données projet'!$A$62,'Données projet'!$B$62,AI19+AH20-AQ19)))</f>
        <v>60.599999999999994</v>
      </c>
      <c r="AJ20" s="13">
        <f>AI20*VLOOKUP('Données projet'!$B$10,Paramètres!$A$1:$I$89,3,0)*VLOOKUP('Données projet'!$B$10,Paramètres!$A$1:$I$89,5,0)</f>
        <v>48.213360000000002</v>
      </c>
      <c r="AK20" s="13">
        <f t="shared" si="35"/>
        <v>14.151379520104694</v>
      </c>
      <c r="AL20" s="20">
        <f t="shared" si="4"/>
        <v>108.61858799751566</v>
      </c>
      <c r="AM20" s="59">
        <f t="shared" si="5"/>
        <v>386.0630324419601</v>
      </c>
      <c r="AN20" s="59">
        <f ca="1">AVERAGE(OFFSET($AM$3,0,0,'Données projet'!$E$10+1,1))-AVERAGE(OFFSET($H$3,0,0,'Données projet'!$E$10+1,1))</f>
        <v>281.79835088425858</v>
      </c>
      <c r="AO20" s="59">
        <f t="shared" si="36"/>
        <v>345.4750813433123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356.31981931185817</v>
      </c>
      <c r="BI20" s="59">
        <f ca="1">AVERAGE(OFFSET($BH$3,0,0,'Données projet'!$E$11+1,1))-AVERAGE(OFFSET($H$3,0,0,'Données projet'!$E$11+1,1))</f>
        <v>343.6089004382095</v>
      </c>
      <c r="BJ20" s="59">
        <f t="shared" si="38"/>
        <v>278.21741231699929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56.2</v>
      </c>
      <c r="BZ20" s="13">
        <f>BY20*VLOOKUP('Données projet'!$B$12,Paramètres!$A$1:$I$89,3,0)*VLOOKUP('Données projet'!$B$12,Paramètres!$A$1:$I$89,5,0)</f>
        <v>43.836000000000006</v>
      </c>
      <c r="CA20" s="13">
        <f t="shared" si="39"/>
        <v>13.009897179721728</v>
      </c>
      <c r="CB20" s="20">
        <f t="shared" si="10"/>
        <v>99.006604254682017</v>
      </c>
      <c r="CC20" s="59">
        <f t="shared" si="11"/>
        <v>376.45104869912649</v>
      </c>
      <c r="CD20" s="59">
        <f ca="1">AVERAGE(OFFSET($CC$3,0,0,'Données projet'!$E$12+1,1))-AVERAGE(OFFSET($H$3,0,0,'Données projet'!$E$12+1,1))</f>
        <v>288.82868507674738</v>
      </c>
      <c r="CE20" s="59">
        <f t="shared" si="40"/>
        <v>283.48738729114024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1.6</v>
      </c>
      <c r="CT20" s="12">
        <f>IF('Données projet'!$A$140&gt;35,CT19+CS20-DB19,IF(A20&lt;'Données projet'!$A$140,$CQ$205^A20,IF(A20='Données projet'!$A$140,'Données projet'!$B$140,CT19+CS20-DB19)))</f>
        <v>19.027313840043519</v>
      </c>
      <c r="CU20" s="17">
        <f>CT20*VLOOKUP('Données projet'!$B$13,Paramètres!$A$1:$I$89,3,0)*VLOOKUP('Données projet'!$B$13,Paramètres!$A$1:$I$89,5,0)</f>
        <v>16.325435274757343</v>
      </c>
      <c r="CV20" s="13">
        <f t="shared" si="41"/>
        <v>5.4354984361731269</v>
      </c>
      <c r="CW20" s="20">
        <f t="shared" si="13"/>
        <v>37.90029287987057</v>
      </c>
      <c r="CX20" s="59">
        <f t="shared" si="14"/>
        <v>315.34473732431502</v>
      </c>
      <c r="CY20" s="59">
        <f ca="1">AVERAGE(OFFSET($CX$3,0,0,'Données projet'!$E$13+1,1))-AVERAGE(OFFSET($H$3,0,0,'Données projet'!$E$13+1,1))</f>
        <v>273.73158910361786</v>
      </c>
      <c r="CZ20" s="59">
        <f t="shared" si="42"/>
        <v>256.77417912163997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28.4</v>
      </c>
      <c r="DO20" s="12">
        <f>IF('Données projet'!$A$166&gt;35,DO19+DN20-DW19,IF(A20&lt;'Données projet'!$A$166,$DL$205^A20,IF(A20='Données projet'!$A$166,'Données projet'!$B$166,DO19+DN20-DW19)))</f>
        <v>245.8</v>
      </c>
      <c r="DP20" s="17">
        <f>DO20*VLOOKUP('Données projet'!$B$14,Paramètres!$A$1:$I$89,3,0)*VLOOKUP('Données projet'!$B$14,Paramètres!$A$1:$I$89,5,0)</f>
        <v>137.40220000000002</v>
      </c>
      <c r="DQ20" s="13">
        <f t="shared" si="43"/>
        <v>35.701238817612946</v>
      </c>
      <c r="DR20" s="20">
        <f t="shared" si="16"/>
        <v>301.48848927400928</v>
      </c>
      <c r="DS20" s="59">
        <f t="shared" si="17"/>
        <v>578.9329337184538</v>
      </c>
      <c r="DT20" s="59">
        <f ca="1">AVERAGE(OFFSET($DS$3,0,0,'Données projet'!$E$14+1,1))-AVERAGE(OFFSET($H$3,0,0,'Données projet'!$E$14+1,1))</f>
        <v>534.78683721545372</v>
      </c>
      <c r="DU20" s="59">
        <f t="shared" si="44"/>
        <v>710.59298755711075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2.8</v>
      </c>
      <c r="EJ20" s="12">
        <f>IF('Données projet'!$A$192&gt;35,EJ19+EI20-ER19,IF(A20&lt;'Données projet'!$A$192,$EG$205^A20,IF(A20='Données projet'!$A$192,'Données projet'!$B$192,EJ19+EI20-ER19)))</f>
        <v>30.61680181296855</v>
      </c>
      <c r="EK20" s="17">
        <f>EJ20*VLOOKUP('Données projet'!$B$15,Paramètres!$A$1:$I$89,3,0)*VLOOKUP('Données projet'!$B$15,Paramètres!$A$1:$I$89,5,0)</f>
        <v>26.746838063809331</v>
      </c>
      <c r="EL20" s="13">
        <f t="shared" si="45"/>
        <v>8.4079476732271274</v>
      </c>
      <c r="EM20" s="20">
        <f t="shared" si="19"/>
        <v>61.227918492005166</v>
      </c>
      <c r="EN20" s="59">
        <f t="shared" si="20"/>
        <v>338.67236293644964</v>
      </c>
      <c r="EO20" s="59">
        <f ca="1">AVERAGE(OFFSET($EN$3,0,0,'Données projet'!$E$15+1,1))-AVERAGE(OFFSET($H$3,0,0,'Données projet'!$E$15+1,1))</f>
        <v>255.2813753128475</v>
      </c>
      <c r="EP20" s="59">
        <f t="shared" si="46"/>
        <v>317.03005098025352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37.442878125375486</v>
      </c>
      <c r="O21" s="13">
        <f>N21*VLOOKUP('Données projet'!$B$9,Paramètres!$A$1:$I$89,3,0)*VLOOKUP('Données projet'!$B$9,Paramètres!$A$1:$I$89,5,0)</f>
        <v>27.453118241525306</v>
      </c>
      <c r="P21" s="13">
        <f t="shared" si="33"/>
        <v>8.6038270900170275</v>
      </c>
      <c r="Q21" s="20">
        <f t="shared" si="2"/>
        <v>62.799179785769574</v>
      </c>
      <c r="R21" s="59">
        <f t="shared" si="0"/>
        <v>341.46584645243627</v>
      </c>
      <c r="S21" s="59">
        <f ca="1">AVERAGE(OFFSET($R$3,0,0,'Données projet'!$E$9+1,1))-AVERAGE(OFFSET($H$3,0,0,'Données projet'!$E$9+1,1))</f>
        <v>193.60868637458515</v>
      </c>
      <c r="T21" s="59">
        <f t="shared" si="34"/>
        <v>272.97841038165217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13.8</v>
      </c>
      <c r="AI21" s="13">
        <f>IF('Données projet'!$A$62&gt;35,AI20+AH21-AQ20,IF(A21&lt;'Données projet'!$A$62,$AF$205^A21,IF(A21='Données projet'!$A$62,'Données projet'!$B$62,AI20+AH21-AQ20)))</f>
        <v>74.399999999999991</v>
      </c>
      <c r="AJ21" s="13">
        <f>AI21*VLOOKUP('Données projet'!$B$10,Paramètres!$A$1:$I$89,3,0)*VLOOKUP('Données projet'!$B$10,Paramètres!$A$1:$I$89,5,0)</f>
        <v>59.192639999999997</v>
      </c>
      <c r="AK21" s="13">
        <f t="shared" si="35"/>
        <v>16.963982408330725</v>
      </c>
      <c r="AL21" s="20">
        <f t="shared" si="4"/>
        <v>132.63945069450935</v>
      </c>
      <c r="AM21" s="59">
        <f t="shared" si="5"/>
        <v>411.30611736117601</v>
      </c>
      <c r="AN21" s="59">
        <f ca="1">AVERAGE(OFFSET($AM$3,0,0,'Données projet'!$E$10+1,1))-AVERAGE(OFFSET($H$3,0,0,'Données projet'!$E$10+1,1))</f>
        <v>281.79835088425858</v>
      </c>
      <c r="AO21" s="59">
        <f t="shared" si="36"/>
        <v>345.4750813433123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375.85125169782572</v>
      </c>
      <c r="BI21" s="59">
        <f ca="1">AVERAGE(OFFSET($BH$3,0,0,'Données projet'!$E$11+1,1))-AVERAGE(OFFSET($H$3,0,0,'Données projet'!$E$11+1,1))</f>
        <v>343.6089004382095</v>
      </c>
      <c r="BJ21" s="59">
        <f t="shared" si="38"/>
        <v>278.21741231699929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65.8</v>
      </c>
      <c r="BZ21" s="13">
        <f>BY21*VLOOKUP('Données projet'!$B$12,Paramètres!$A$1:$I$89,3,0)*VLOOKUP('Données projet'!$B$12,Paramètres!$A$1:$I$89,5,0)</f>
        <v>51.323999999999998</v>
      </c>
      <c r="CA21" s="13">
        <f t="shared" si="39"/>
        <v>14.95516659950003</v>
      </c>
      <c r="CB21" s="20">
        <f t="shared" si="10"/>
        <v>115.43621516079588</v>
      </c>
      <c r="CC21" s="59">
        <f t="shared" si="11"/>
        <v>394.10288182746257</v>
      </c>
      <c r="CD21" s="59">
        <f ca="1">AVERAGE(OFFSET($CC$3,0,0,'Données projet'!$E$12+1,1))-AVERAGE(OFFSET($H$3,0,0,'Données projet'!$E$12+1,1))</f>
        <v>288.82868507674738</v>
      </c>
      <c r="CE21" s="59">
        <f t="shared" si="40"/>
        <v>283.48738729114024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1.6</v>
      </c>
      <c r="CT21" s="12">
        <f>IF('Données projet'!$A$140&gt;35,CT20+CS21-DB20,IF(A21&lt;'Données projet'!$A$140,$CQ$205^A21,IF(A21='Données projet'!$A$140,'Données projet'!$B$140,CT20+CS21-DB20)))</f>
        <v>22.627416997969497</v>
      </c>
      <c r="CU21" s="17">
        <f>CT21*VLOOKUP('Données projet'!$B$13,Paramètres!$A$1:$I$89,3,0)*VLOOKUP('Données projet'!$B$13,Paramètres!$A$1:$I$89,5,0)</f>
        <v>19.414323784257832</v>
      </c>
      <c r="CV21" s="13">
        <f t="shared" si="41"/>
        <v>6.3348582456241713</v>
      </c>
      <c r="CW21" s="20">
        <f t="shared" si="13"/>
        <v>44.846492035377821</v>
      </c>
      <c r="CX21" s="59">
        <f t="shared" si="14"/>
        <v>323.51315870204451</v>
      </c>
      <c r="CY21" s="59">
        <f ca="1">AVERAGE(OFFSET($CX$3,0,0,'Données projet'!$E$13+1,1))-AVERAGE(OFFSET($H$3,0,0,'Données projet'!$E$13+1,1))</f>
        <v>273.73158910361786</v>
      </c>
      <c r="CZ21" s="59">
        <f t="shared" si="42"/>
        <v>256.77417912163997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28.4</v>
      </c>
      <c r="DO21" s="12">
        <f>IF('Données projet'!$A$166&gt;35,DO20+DN21-DW20,IF(A21&lt;'Données projet'!$A$166,$DL$205^A21,IF(A21='Données projet'!$A$166,'Données projet'!$B$166,DO20+DN21-DW20)))</f>
        <v>274.2</v>
      </c>
      <c r="DP21" s="17">
        <f>DO21*VLOOKUP('Données projet'!$B$14,Paramètres!$A$1:$I$89,3,0)*VLOOKUP('Données projet'!$B$14,Paramètres!$A$1:$I$89,5,0)</f>
        <v>153.27779999999998</v>
      </c>
      <c r="DQ21" s="13">
        <f t="shared" si="43"/>
        <v>39.32253770530393</v>
      </c>
      <c r="DR21" s="20">
        <f t="shared" si="16"/>
        <v>335.44558817007095</v>
      </c>
      <c r="DS21" s="59">
        <f t="shared" si="17"/>
        <v>614.11225483673763</v>
      </c>
      <c r="DT21" s="59">
        <f ca="1">AVERAGE(OFFSET($DS$3,0,0,'Données projet'!$E$14+1,1))-AVERAGE(OFFSET($H$3,0,0,'Données projet'!$E$14+1,1))</f>
        <v>534.78683721545372</v>
      </c>
      <c r="DU21" s="59">
        <f t="shared" si="44"/>
        <v>710.59298755711075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2.8</v>
      </c>
      <c r="EJ21" s="12">
        <f>IF('Données projet'!$A$192&gt;35,EJ20+EI21-ER20,IF(A21&lt;'Données projet'!$A$192,$EG$205^A21,IF(A21='Données projet'!$A$192,'Données projet'!$B$192,EJ20+EI21-ER20)))</f>
        <v>37.442878125375486</v>
      </c>
      <c r="EK21" s="17">
        <f>EJ21*VLOOKUP('Données projet'!$B$15,Paramètres!$A$1:$I$89,3,0)*VLOOKUP('Données projet'!$B$15,Paramètres!$A$1:$I$89,5,0)</f>
        <v>32.71009833032803</v>
      </c>
      <c r="EL21" s="13">
        <f t="shared" si="45"/>
        <v>10.044421922207921</v>
      </c>
      <c r="EM21" s="20">
        <f t="shared" si="19"/>
        <v>74.464122773166778</v>
      </c>
      <c r="EN21" s="59">
        <f t="shared" si="20"/>
        <v>353.13078943983345</v>
      </c>
      <c r="EO21" s="59">
        <f ca="1">AVERAGE(OFFSET($EN$3,0,0,'Données projet'!$E$15+1,1))-AVERAGE(OFFSET($H$3,0,0,'Données projet'!$E$15+1,1))</f>
        <v>255.2813753128475</v>
      </c>
      <c r="EP21" s="59">
        <f t="shared" si="46"/>
        <v>317.03005098025352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45.79084160638493</v>
      </c>
      <c r="O22" s="13">
        <f>N22*VLOOKUP('Données projet'!$B$9,Paramètres!$A$1:$I$89,3,0)*VLOOKUP('Données projet'!$B$9,Paramètres!$A$1:$I$89,5,0)</f>
        <v>33.573845065801436</v>
      </c>
      <c r="P22" s="13">
        <f t="shared" si="33"/>
        <v>10.27842617444402</v>
      </c>
      <c r="Q22" s="20">
        <f t="shared" si="2"/>
        <v>76.376039076760833</v>
      </c>
      <c r="R22" s="59">
        <f t="shared" si="0"/>
        <v>356.26492796564969</v>
      </c>
      <c r="S22" s="59">
        <f ca="1">AVERAGE(OFFSET($R$3,0,0,'Données projet'!$E$9+1,1))-AVERAGE(OFFSET($H$3,0,0,'Données projet'!$E$9+1,1))</f>
        <v>193.60868637458515</v>
      </c>
      <c r="T22" s="59">
        <f t="shared" si="34"/>
        <v>272.97841038165217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13.8</v>
      </c>
      <c r="AI22" s="13">
        <f>IF('Données projet'!$A$62&gt;35,AI21+AH22-AQ21,IF(A22&lt;'Données projet'!$A$62,$AF$205^A22,IF(A22='Données projet'!$A$62,'Données projet'!$B$62,AI21+AH22-AQ21)))</f>
        <v>88.199999999999989</v>
      </c>
      <c r="AJ22" s="13">
        <f>AI22*VLOOKUP('Données projet'!$B$10,Paramètres!$A$1:$I$89,3,0)*VLOOKUP('Données projet'!$B$10,Paramètres!$A$1:$I$89,5,0)</f>
        <v>70.171919999999986</v>
      </c>
      <c r="AK22" s="13">
        <f t="shared" si="35"/>
        <v>19.716145269554726</v>
      </c>
      <c r="AL22" s="20">
        <f t="shared" si="4"/>
        <v>156.55504701114111</v>
      </c>
      <c r="AM22" s="59">
        <f t="shared" si="5"/>
        <v>436.44393590002994</v>
      </c>
      <c r="AN22" s="59">
        <f ca="1">AVERAGE(OFFSET($AM$3,0,0,'Données projet'!$E$10+1,1))-AVERAGE(OFFSET($H$3,0,0,'Données projet'!$E$10+1,1))</f>
        <v>281.79835088425858</v>
      </c>
      <c r="AO22" s="59">
        <f t="shared" si="36"/>
        <v>345.4750813433123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399.64596418363215</v>
      </c>
      <c r="BI22" s="59">
        <f ca="1">AVERAGE(OFFSET($BH$3,0,0,'Données projet'!$E$11+1,1))-AVERAGE(OFFSET($H$3,0,0,'Données projet'!$E$11+1,1))</f>
        <v>343.6089004382095</v>
      </c>
      <c r="BJ22" s="59">
        <f t="shared" si="38"/>
        <v>278.21741231699929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75.399999999999991</v>
      </c>
      <c r="BZ22" s="13">
        <f>BY22*VLOOKUP('Données projet'!$B$12,Paramètres!$A$1:$I$89,3,0)*VLOOKUP('Données projet'!$B$12,Paramètres!$A$1:$I$89,5,0)</f>
        <v>58.811999999999998</v>
      </c>
      <c r="CA22" s="13">
        <f t="shared" si="39"/>
        <v>16.86755663452599</v>
      </c>
      <c r="CB22" s="20">
        <f t="shared" si="10"/>
        <v>131.8085611384661</v>
      </c>
      <c r="CC22" s="59">
        <f t="shared" si="11"/>
        <v>411.69745002735499</v>
      </c>
      <c r="CD22" s="59">
        <f ca="1">AVERAGE(OFFSET($CC$3,0,0,'Données projet'!$E$12+1,1))-AVERAGE(OFFSET($H$3,0,0,'Données projet'!$E$12+1,1))</f>
        <v>288.82868507674738</v>
      </c>
      <c r="CE22" s="59">
        <f t="shared" si="40"/>
        <v>283.48738729114024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1.6</v>
      </c>
      <c r="CT22" s="12">
        <f>IF('Données projet'!$A$140&gt;35,CT21+CS22-DB21,IF(A22&lt;'Données projet'!$A$140,$CQ$205^A22,IF(A22='Données projet'!$A$140,'Données projet'!$B$140,CT21+CS22-DB21)))</f>
        <v>26.908685288118836</v>
      </c>
      <c r="CU22" s="17">
        <f>CT22*VLOOKUP('Données projet'!$B$13,Paramètres!$A$1:$I$89,3,0)*VLOOKUP('Données projet'!$B$13,Paramètres!$A$1:$I$89,5,0)</f>
        <v>23.087651977205965</v>
      </c>
      <c r="CV22" s="13">
        <f t="shared" si="41"/>
        <v>7.3830264994807839</v>
      </c>
      <c r="CW22" s="20">
        <f t="shared" si="13"/>
        <v>53.069765013562751</v>
      </c>
      <c r="CX22" s="59">
        <f t="shared" si="14"/>
        <v>332.9586539024516</v>
      </c>
      <c r="CY22" s="59">
        <f ca="1">AVERAGE(OFFSET($CX$3,0,0,'Données projet'!$E$13+1,1))-AVERAGE(OFFSET($H$3,0,0,'Données projet'!$E$13+1,1))</f>
        <v>273.73158910361786</v>
      </c>
      <c r="CZ22" s="59">
        <f t="shared" si="42"/>
        <v>256.77417912163997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28.4</v>
      </c>
      <c r="DO22" s="12">
        <f>IF('Données projet'!$A$166&gt;35,DO21+DN22-DW21,IF(A22&lt;'Données projet'!$A$166,$DL$205^A22,IF(A22='Données projet'!$A$166,'Données projet'!$B$166,DO21+DN22-DW21)))</f>
        <v>302.59999999999997</v>
      </c>
      <c r="DP22" s="17">
        <f>DO22*VLOOKUP('Données projet'!$B$14,Paramètres!$A$1:$I$89,3,0)*VLOOKUP('Données projet'!$B$14,Paramètres!$A$1:$I$89,5,0)</f>
        <v>169.1534</v>
      </c>
      <c r="DQ22" s="13">
        <f t="shared" si="43"/>
        <v>42.900358290021551</v>
      </c>
      <c r="DR22" s="20">
        <f t="shared" si="16"/>
        <v>369.32696235512088</v>
      </c>
      <c r="DS22" s="59">
        <f t="shared" si="17"/>
        <v>649.21585124400974</v>
      </c>
      <c r="DT22" s="59">
        <f ca="1">AVERAGE(OFFSET($DS$3,0,0,'Données projet'!$E$14+1,1))-AVERAGE(OFFSET($H$3,0,0,'Données projet'!$E$14+1,1))</f>
        <v>534.78683721545372</v>
      </c>
      <c r="DU22" s="59">
        <f t="shared" si="44"/>
        <v>710.59298755711075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2.8</v>
      </c>
      <c r="EJ22" s="12">
        <f>IF('Données projet'!$A$192&gt;35,EJ21+EI22-ER21,IF(A22&lt;'Données projet'!$A$192,$EG$205^A22,IF(A22='Données projet'!$A$192,'Données projet'!$B$192,EJ21+EI22-ER21)))</f>
        <v>45.79084160638493</v>
      </c>
      <c r="EK22" s="17">
        <f>EJ22*VLOOKUP('Données projet'!$B$15,Paramètres!$A$1:$I$89,3,0)*VLOOKUP('Données projet'!$B$15,Paramètres!$A$1:$I$89,5,0)</f>
        <v>40.002879227337878</v>
      </c>
      <c r="EL22" s="13">
        <f t="shared" si="45"/>
        <v>11.999410043022708</v>
      </c>
      <c r="EM22" s="20">
        <f t="shared" si="19"/>
        <v>90.570653812544677</v>
      </c>
      <c r="EN22" s="59">
        <f t="shared" si="20"/>
        <v>370.45954270143352</v>
      </c>
      <c r="EO22" s="59">
        <f ca="1">AVERAGE(OFFSET($EN$3,0,0,'Données projet'!$E$15+1,1))-AVERAGE(OFFSET($H$3,0,0,'Données projet'!$E$15+1,1))</f>
        <v>255.2813753128475</v>
      </c>
      <c r="EP22" s="59">
        <f t="shared" si="46"/>
        <v>317.03005098025352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56</v>
      </c>
      <c r="L23" s="12">
        <f>VLOOKUP(A23,'Données projet'!$A$35:$I$55,9,0)</f>
        <v>2.8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56</v>
      </c>
      <c r="O23" s="13">
        <f>N23*VLOOKUP('Données projet'!$B$9,Paramètres!$A$1:$I$89,3,0)*VLOOKUP('Données projet'!$B$9,Paramètres!$A$1:$I$89,5,0)</f>
        <v>41.059200000000004</v>
      </c>
      <c r="P23" s="13">
        <f t="shared" si="33"/>
        <v>12.278959527914743</v>
      </c>
      <c r="Q23" s="20">
        <f t="shared" si="2"/>
        <v>92.897294511118176</v>
      </c>
      <c r="R23" s="59">
        <f t="shared" si="0"/>
        <v>374.0084056222293</v>
      </c>
      <c r="S23" s="59">
        <f ca="1">AVERAGE(OFFSET($R$3,0,0,'Données projet'!$E$9+1,1))-AVERAGE(OFFSET($H$3,0,0,'Données projet'!$E$9+1,1))</f>
        <v>193.60868637458515</v>
      </c>
      <c r="T23" s="59">
        <f t="shared" si="34"/>
        <v>272.97841038165217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102</v>
      </c>
      <c r="AG23" s="12">
        <f>VLOOKUP(A23,'Données projet'!$A$61:$I$81,9,0)</f>
        <v>13.8</v>
      </c>
      <c r="AH23" s="12">
        <f t="array" ref="AH23">INDEX(AG:AG,MIN(IF(ISNUMBER(AG23:AG219),ROW(AG23:AG219),"")))</f>
        <v>13.8</v>
      </c>
      <c r="AI23" s="13">
        <f>IF('Données projet'!$A$62&gt;35,AI22+AH23-AQ22,IF(A23&lt;'Données projet'!$A$62,$AF$205^A23,IF(A23='Données projet'!$A$62,'Données projet'!$B$62,AI22+AH23-AQ22)))</f>
        <v>101.99999999999999</v>
      </c>
      <c r="AJ23" s="13">
        <f>AI23*VLOOKUP('Données projet'!$B$10,Paramètres!$A$1:$I$89,3,0)*VLOOKUP('Données projet'!$B$10,Paramètres!$A$1:$I$89,5,0)</f>
        <v>81.151200000000003</v>
      </c>
      <c r="AK23" s="13">
        <f t="shared" si="35"/>
        <v>22.418424032002342</v>
      </c>
      <c r="AL23" s="20">
        <f t="shared" si="4"/>
        <v>180.38376185573739</v>
      </c>
      <c r="AM23" s="59">
        <f t="shared" si="5"/>
        <v>461.49487296684856</v>
      </c>
      <c r="AN23" s="59">
        <f ca="1">AVERAGE(OFFSET($AM$3,0,0,'Données projet'!$E$10+1,1))-AVERAGE(OFFSET($H$3,0,0,'Données projet'!$E$10+1,1))</f>
        <v>281.79835088425858</v>
      </c>
      <c r="AO23" s="59">
        <f t="shared" si="36"/>
        <v>345.4750813433123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428.69949531545831</v>
      </c>
      <c r="BI23" s="59">
        <f ca="1">AVERAGE(OFFSET($BH$3,0,0,'Données projet'!$E$11+1,1))-AVERAGE(OFFSET($H$3,0,0,'Données projet'!$E$11+1,1))</f>
        <v>343.6089004382095</v>
      </c>
      <c r="BJ23" s="59">
        <f t="shared" si="38"/>
        <v>278.21741231699929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85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84.999999999999986</v>
      </c>
      <c r="BZ23" s="13">
        <f>BY23*VLOOKUP('Données projet'!$B$12,Paramètres!$A$1:$I$89,3,0)*VLOOKUP('Données projet'!$B$12,Paramètres!$A$1:$I$89,5,0)</f>
        <v>66.3</v>
      </c>
      <c r="CA23" s="13">
        <f t="shared" si="39"/>
        <v>18.751733344032118</v>
      </c>
      <c r="CB23" s="20">
        <f t="shared" si="10"/>
        <v>148.13176890752257</v>
      </c>
      <c r="CC23" s="59">
        <f t="shared" si="11"/>
        <v>429.24288001863374</v>
      </c>
      <c r="CD23" s="59">
        <f ca="1">AVERAGE(OFFSET($CC$3,0,0,'Données projet'!$E$12+1,1))-AVERAGE(OFFSET($H$3,0,0,'Données projet'!$E$12+1,1))</f>
        <v>288.82868507674738</v>
      </c>
      <c r="CE23" s="59">
        <f t="shared" si="40"/>
        <v>283.48738729114024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8.6000000000000007E-2</v>
      </c>
      <c r="CJ23" s="16">
        <f>IF(ISNA(VLOOKUP(A23,'Données projet'!$A$113:$I$133,7,0)),0%,VLOOKUP(A23,'Données projet'!$A$113:$I$133,7,0))</f>
        <v>0.8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1.8465744188406115</v>
      </c>
      <c r="CM23" s="21">
        <f>EXP(-LN(2)/2)*CM22+(1-EXP(-LN(2)/2))/(LN(2)/2)*CG23*CJ23*VLOOKUP('Données projet'!$B$12,Paramètres!$A$1:$I$89,3,0)*0.475*44/12</f>
        <v>14.719019867844059</v>
      </c>
      <c r="CN23" s="22">
        <f t="shared" si="12"/>
        <v>16.565594286684671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32</v>
      </c>
      <c r="CR23" s="12">
        <f>VLOOKUP(A23,'Données projet'!$A$139:$I$159,9,0)</f>
        <v>1.6</v>
      </c>
      <c r="CS23" s="12">
        <f t="array" ref="CS23">INDEX(CR:CR,MIN(IF(ISNUMBER(CR23:CR219),ROW(CR23:CR219),"")))</f>
        <v>1.6</v>
      </c>
      <c r="CT23" s="12">
        <f>IF('Données projet'!$A$140&gt;35,CT22+CS23-DB22,IF(A23&lt;'Données projet'!$A$140,$CQ$205^A23,IF(A23='Données projet'!$A$140,'Données projet'!$B$140,CT22+CS23-DB22)))</f>
        <v>32</v>
      </c>
      <c r="CU23" s="17">
        <f>CT23*VLOOKUP('Données projet'!$B$13,Paramètres!$A$1:$I$89,3,0)*VLOOKUP('Données projet'!$B$13,Paramètres!$A$1:$I$89,5,0)</f>
        <v>27.456000000000003</v>
      </c>
      <c r="CV23" s="13">
        <f t="shared" si="41"/>
        <v>8.604625104229898</v>
      </c>
      <c r="CW23" s="20">
        <f t="shared" si="13"/>
        <v>62.805588723200408</v>
      </c>
      <c r="CX23" s="59">
        <f t="shared" si="14"/>
        <v>343.91669983431154</v>
      </c>
      <c r="CY23" s="59">
        <f ca="1">AVERAGE(OFFSET($CX$3,0,0,'Données projet'!$E$13+1,1))-AVERAGE(OFFSET($H$3,0,0,'Données projet'!$E$13+1,1))</f>
        <v>273.73158910361786</v>
      </c>
      <c r="CZ23" s="59">
        <f t="shared" si="42"/>
        <v>256.77417912163997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331</v>
      </c>
      <c r="DM23" s="12">
        <f>VLOOKUP(A23,'Données projet'!$A$165:$I$185,9,0)</f>
        <v>28.4</v>
      </c>
      <c r="DN23" s="12">
        <f t="array" ref="DN23">INDEX(DM:DM,MIN(IF(ISNUMBER(DM23:DM219),ROW(DM23:DM219),"")))</f>
        <v>28.4</v>
      </c>
      <c r="DO23" s="12">
        <f>IF('Données projet'!$A$166&gt;35,DO22+DN23-DW22,IF(A23&lt;'Données projet'!$A$166,$DL$205^A23,IF(A23='Données projet'!$A$166,'Données projet'!$B$166,DO22+DN23-DW22)))</f>
        <v>330.99999999999994</v>
      </c>
      <c r="DP23" s="17">
        <f>DO23*VLOOKUP('Données projet'!$B$14,Paramètres!$A$1:$I$89,3,0)*VLOOKUP('Données projet'!$B$14,Paramètres!$A$1:$I$89,5,0)</f>
        <v>185.029</v>
      </c>
      <c r="DQ23" s="13">
        <f t="shared" si="43"/>
        <v>46.439245338703373</v>
      </c>
      <c r="DR23" s="20">
        <f t="shared" si="16"/>
        <v>403.14052729824169</v>
      </c>
      <c r="DS23" s="59">
        <f t="shared" si="17"/>
        <v>684.25163840935284</v>
      </c>
      <c r="DT23" s="59">
        <f ca="1">AVERAGE(OFFSET($DS$3,0,0,'Données projet'!$E$14+1,1))-AVERAGE(OFFSET($H$3,0,0,'Données projet'!$E$14+1,1))</f>
        <v>534.78683721545372</v>
      </c>
      <c r="DU23" s="59">
        <f t="shared" si="44"/>
        <v>710.59298755711075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11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0.22000000000000003</v>
      </c>
      <c r="DZ23" s="16">
        <f>IF(ISNA(VLOOKUP(A23,'Données projet'!$A$165:$I$185,7,0)),0%,VLOOKUP(A23,'Données projet'!$A$165:$I$185,7,0))</f>
        <v>0.6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1.7874840374377119</v>
      </c>
      <c r="EC23" s="21">
        <f>EXP(-LN(2)/2)*EC22+(1-EXP(-LN(2)/2))/(LN(2)/2)*DW23*DZ23*VLOOKUP('Données projet'!$B$14,Paramètres!$A$1:$I$89,3,0)*0.475*44/12</f>
        <v>4.1772578384941434</v>
      </c>
      <c r="ED23" s="22">
        <f t="shared" si="18"/>
        <v>5.9647418759318551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56</v>
      </c>
      <c r="EH23" s="12">
        <f>VLOOKUP(A23,'Données projet'!$A$191:$I$211,9,0)</f>
        <v>2.8</v>
      </c>
      <c r="EI23" s="12">
        <f t="array" ref="EI23">INDEX(EH:EH,MIN(IF(ISNUMBER(EH23:EH219),ROW(EH23:EH219),"")))</f>
        <v>2.8</v>
      </c>
      <c r="EJ23" s="12">
        <f>IF('Données projet'!$A$192&gt;35,EJ22+EI23-ER22,IF(A23&lt;'Données projet'!$A$192,$EG$205^A23,IF(A23='Données projet'!$A$192,'Données projet'!$B$192,EJ22+EI23-ER22)))</f>
        <v>56</v>
      </c>
      <c r="EK23" s="17">
        <f>EJ23*VLOOKUP('Données projet'!$B$15,Paramètres!$A$1:$I$89,3,0)*VLOOKUP('Données projet'!$B$15,Paramètres!$A$1:$I$89,5,0)</f>
        <v>48.921600000000005</v>
      </c>
      <c r="EL23" s="13">
        <f t="shared" si="45"/>
        <v>14.334905731333867</v>
      </c>
      <c r="EM23" s="20">
        <f t="shared" si="19"/>
        <v>110.17174748207316</v>
      </c>
      <c r="EN23" s="59">
        <f t="shared" si="20"/>
        <v>391.2828585931843</v>
      </c>
      <c r="EO23" s="59">
        <f ca="1">AVERAGE(OFFSET($EN$3,0,0,'Données projet'!$E$15+1,1))-AVERAGE(OFFSET($H$3,0,0,'Données projet'!$E$15+1,1))</f>
        <v>255.2813753128475</v>
      </c>
      <c r="EP23" s="59">
        <f t="shared" si="46"/>
        <v>317.03005098025352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</v>
      </c>
      <c r="N24" s="13">
        <f>IF('Données projet'!$A$36&gt;35,N23+M24-V23,IF(A24&lt;'Données projet'!$A$36,$K$205^A24,IF(A24='Données projet'!$A$36,'Données projet'!$B$36,N23+M24-V23)))</f>
        <v>67</v>
      </c>
      <c r="O24" s="13">
        <f>N24*VLOOKUP('Données projet'!$B$9,Paramètres!$A$1:$I$89,3,0)*VLOOKUP('Données projet'!$B$9,Paramètres!$A$1:$I$89,5,0)</f>
        <v>49.124400000000001</v>
      </c>
      <c r="P24" s="13">
        <f t="shared" si="33"/>
        <v>14.38740016036772</v>
      </c>
      <c r="Q24" s="20">
        <f t="shared" si="2"/>
        <v>110.61638527930711</v>
      </c>
      <c r="R24" s="59">
        <f t="shared" si="0"/>
        <v>392.94971861264042</v>
      </c>
      <c r="S24" s="59">
        <f ca="1">AVERAGE(OFFSET($R$3,0,0,'Données projet'!$E$9+1,1))-AVERAGE(OFFSET($H$3,0,0,'Données projet'!$E$9+1,1))</f>
        <v>193.60868637458515</v>
      </c>
      <c r="T24" s="59">
        <f t="shared" si="34"/>
        <v>272.97841038165217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65.080079999999981</v>
      </c>
      <c r="AK24" s="13">
        <f t="shared" si="35"/>
        <v>18.44653442602603</v>
      </c>
      <c r="AL24" s="20">
        <f t="shared" si="4"/>
        <v>145.47552012532864</v>
      </c>
      <c r="AM24" s="59">
        <f t="shared" si="5"/>
        <v>427.80885345866193</v>
      </c>
      <c r="AN24" s="59">
        <f ca="1">AVERAGE(OFFSET($AM$3,0,0,'Données projet'!$E$10+1,1))-AVERAGE(OFFSET($H$3,0,0,'Données projet'!$E$10+1,1))</f>
        <v>281.79835088425858</v>
      </c>
      <c r="AO24" s="59">
        <f t="shared" si="36"/>
        <v>345.4750813433123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74.2</v>
      </c>
      <c r="BE24" s="13">
        <f>BD24*VLOOKUP('Données projet'!$B$11,Paramètres!$A$1:$I$89,3,0)*VLOOKUP('Données projet'!$B$11,Paramètres!$A$1:$I$89,5,0)</f>
        <v>67.136160000000004</v>
      </c>
      <c r="BF24" s="13">
        <f t="shared" si="37"/>
        <v>18.960545405756019</v>
      </c>
      <c r="BG24" s="20">
        <f t="shared" si="7"/>
        <v>149.95176191502506</v>
      </c>
      <c r="BH24" s="59">
        <f t="shared" si="8"/>
        <v>432.2850952483584</v>
      </c>
      <c r="BI24" s="59">
        <f ca="1">AVERAGE(OFFSET($BH$3,0,0,'Données projet'!$E$11+1,1))-AVERAGE(OFFSET($H$3,0,0,'Données projet'!$E$11+1,1))</f>
        <v>343.6089004382095</v>
      </c>
      <c r="BJ24" s="59">
        <f t="shared" si="38"/>
        <v>278.21741231699929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10.6</v>
      </c>
      <c r="BY24" s="12">
        <f>IF('Données projet'!$A$114&gt;35,BY23+BX24-CG23,IF(A24&lt;'Données projet'!$A$114,$BV$205^A24,IF(A24='Données projet'!$A$114,'Données projet'!$B$114,BY23+BX24-CG23)))</f>
        <v>70.59999999999998</v>
      </c>
      <c r="BZ24" s="13">
        <f>BY24*VLOOKUP('Données projet'!$B$12,Paramètres!$A$1:$I$89,3,0)*VLOOKUP('Données projet'!$B$12,Paramètres!$A$1:$I$89,5,0)</f>
        <v>55.067999999999984</v>
      </c>
      <c r="CA24" s="13">
        <f t="shared" si="39"/>
        <v>15.915148294580479</v>
      </c>
      <c r="CB24" s="20">
        <f t="shared" si="10"/>
        <v>123.62898327972762</v>
      </c>
      <c r="CC24" s="59">
        <f t="shared" si="11"/>
        <v>405.96231661306092</v>
      </c>
      <c r="CD24" s="59">
        <f ca="1">AVERAGE(OFFSET($CC$3,0,0,'Données projet'!$E$12+1,1))-AVERAGE(OFFSET($H$3,0,0,'Données projet'!$E$12+1,1))</f>
        <v>288.82868507674738</v>
      </c>
      <c r="CE24" s="59">
        <f t="shared" si="40"/>
        <v>283.48738729114024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1.7960797442502867</v>
      </c>
      <c r="CM24" s="21">
        <f>EXP(-LN(2)/2)*CM23+(1-EXP(-LN(2)/2))/(LN(2)/2)*CG24*CJ24*VLOOKUP('Données projet'!$B$12,Paramètres!$A$1:$I$89,3,0)*0.475*44/12</f>
        <v>10.407918760972056</v>
      </c>
      <c r="CN24" s="22">
        <f t="shared" si="12"/>
        <v>12.203998505222343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</v>
      </c>
      <c r="CT24" s="12">
        <f>IF('Données projet'!$A$140&gt;35,CT23+CS24-DB23,IF(A24&lt;'Données projet'!$A$140,$CQ$205^A24,IF(A24='Données projet'!$A$140,'Données projet'!$B$140,CT23+CS24-DB23)))</f>
        <v>40</v>
      </c>
      <c r="CU24" s="17">
        <f>CT24*VLOOKUP('Données projet'!$B$13,Paramètres!$A$1:$I$89,3,0)*VLOOKUP('Données projet'!$B$13,Paramètres!$A$1:$I$89,5,0)</f>
        <v>34.32</v>
      </c>
      <c r="CV24" s="13">
        <f t="shared" si="41"/>
        <v>10.480008641404153</v>
      </c>
      <c r="CW24" s="20">
        <f t="shared" si="13"/>
        <v>78.026681717112226</v>
      </c>
      <c r="CX24" s="59">
        <f t="shared" si="14"/>
        <v>360.36001505044555</v>
      </c>
      <c r="CY24" s="59">
        <f ca="1">AVERAGE(OFFSET($CX$3,0,0,'Données projet'!$E$13+1,1))-AVERAGE(OFFSET($H$3,0,0,'Données projet'!$E$13+1,1))</f>
        <v>273.73158910361786</v>
      </c>
      <c r="CZ24" s="59">
        <f t="shared" si="42"/>
        <v>256.77417912163997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29.8</v>
      </c>
      <c r="DO24" s="12">
        <f>IF('Données projet'!$A$166&gt;35,DO23+DN24-DW23,IF(A24&lt;'Données projet'!$A$166,$DL$205^A24,IF(A24='Données projet'!$A$166,'Données projet'!$B$166,DO23+DN24-DW23)))</f>
        <v>349.79999999999995</v>
      </c>
      <c r="DP24" s="17">
        <f>DO24*VLOOKUP('Données projet'!$B$14,Paramètres!$A$1:$I$89,3,0)*VLOOKUP('Données projet'!$B$14,Paramètres!$A$1:$I$89,5,0)</f>
        <v>195.53819999999999</v>
      </c>
      <c r="DQ24" s="13">
        <f t="shared" si="43"/>
        <v>48.762315280106222</v>
      </c>
      <c r="DR24" s="20">
        <f t="shared" si="16"/>
        <v>425.4900641128516</v>
      </c>
      <c r="DS24" s="59">
        <f t="shared" si="17"/>
        <v>707.82339744618491</v>
      </c>
      <c r="DT24" s="59">
        <f ca="1">AVERAGE(OFFSET($DS$3,0,0,'Données projet'!$E$14+1,1))-AVERAGE(OFFSET($H$3,0,0,'Données projet'!$E$14+1,1))</f>
        <v>534.78683721545372</v>
      </c>
      <c r="DU24" s="59">
        <f t="shared" si="44"/>
        <v>710.59298755711075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1.7386051924342776</v>
      </c>
      <c r="EC24" s="21">
        <f>EXP(-LN(2)/2)*EC23+(1-EXP(-LN(2)/2))/(LN(2)/2)*DW24*DZ24*VLOOKUP('Données projet'!$B$14,Paramètres!$A$1:$I$89,3,0)*0.475*44/12</f>
        <v>2.953767344363869</v>
      </c>
      <c r="ED24" s="22">
        <f t="shared" si="18"/>
        <v>4.6923725367981461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11</v>
      </c>
      <c r="EJ24" s="12">
        <f>IF('Données projet'!$A$192&gt;35,EJ23+EI24-ER23,IF(A24&lt;'Données projet'!$A$192,$EG$205^A24,IF(A24='Données projet'!$A$192,'Données projet'!$B$192,EJ23+EI24-ER23)))</f>
        <v>67</v>
      </c>
      <c r="EK24" s="17">
        <f>EJ24*VLOOKUP('Données projet'!$B$15,Paramètres!$A$1:$I$89,3,0)*VLOOKUP('Données projet'!$B$15,Paramètres!$A$1:$I$89,5,0)</f>
        <v>58.531200000000005</v>
      </c>
      <c r="EL24" s="13">
        <f t="shared" si="45"/>
        <v>16.796376317470752</v>
      </c>
      <c r="EM24" s="20">
        <f t="shared" si="19"/>
        <v>131.19552875292825</v>
      </c>
      <c r="EN24" s="59">
        <f t="shared" si="20"/>
        <v>413.5288620862616</v>
      </c>
      <c r="EO24" s="59">
        <f ca="1">AVERAGE(OFFSET($EN$3,0,0,'Données projet'!$E$15+1,1))-AVERAGE(OFFSET($H$3,0,0,'Données projet'!$E$15+1,1))</f>
        <v>255.2813753128475</v>
      </c>
      <c r="EP24" s="59">
        <f t="shared" si="46"/>
        <v>317.03005098025352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</v>
      </c>
      <c r="N25" s="13">
        <f>IF('Données projet'!$A$36&gt;35,N24+M25-V24,IF(A25&lt;'Données projet'!$A$36,$K$205^A25,IF(A25='Données projet'!$A$36,'Données projet'!$B$36,N24+M25-V24)))</f>
        <v>78</v>
      </c>
      <c r="O25" s="13">
        <f>N25*VLOOKUP('Données projet'!$B$9,Paramètres!$A$1:$I$89,3,0)*VLOOKUP('Données projet'!$B$9,Paramètres!$A$1:$I$89,5,0)</f>
        <v>57.189599999999999</v>
      </c>
      <c r="P25" s="13">
        <f t="shared" si="33"/>
        <v>16.455740048444721</v>
      </c>
      <c r="Q25" s="20">
        <f t="shared" si="2"/>
        <v>128.2656339177079</v>
      </c>
      <c r="R25" s="59">
        <f t="shared" si="0"/>
        <v>411.82118947326342</v>
      </c>
      <c r="S25" s="59">
        <f ca="1">AVERAGE(OFFSET($R$3,0,0,'Données projet'!$E$9+1,1))-AVERAGE(OFFSET($H$3,0,0,'Données projet'!$E$9+1,1))</f>
        <v>193.60868637458515</v>
      </c>
      <c r="T25" s="59">
        <f t="shared" si="34"/>
        <v>272.97841038165217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14.8</v>
      </c>
      <c r="AI25" s="13">
        <f>IF('Données projet'!$A$62&gt;35,AI24+AH25-AQ24,IF(A25&lt;'Données projet'!$A$62,$AF$205^A25,IF(A25='Données projet'!$A$62,'Données projet'!$B$62,AI24+AH25-AQ24)))</f>
        <v>96.59999999999998</v>
      </c>
      <c r="AJ25" s="13">
        <f>AI25*VLOOKUP('Données projet'!$B$10,Paramètres!$A$1:$I$89,3,0)*VLOOKUP('Données projet'!$B$10,Paramètres!$A$1:$I$89,5,0)</f>
        <v>76.854959999999991</v>
      </c>
      <c r="AK25" s="13">
        <f t="shared" si="35"/>
        <v>21.366419773799993</v>
      </c>
      <c r="AL25" s="20">
        <f t="shared" si="4"/>
        <v>171.06890310603498</v>
      </c>
      <c r="AM25" s="59">
        <f t="shared" si="5"/>
        <v>454.62445866159055</v>
      </c>
      <c r="AN25" s="59">
        <f ca="1">AVERAGE(OFFSET($AM$3,0,0,'Données projet'!$E$10+1,1))-AVERAGE(OFFSET($H$3,0,0,'Données projet'!$E$10+1,1))</f>
        <v>281.79835088425858</v>
      </c>
      <c r="AO25" s="59">
        <f t="shared" si="36"/>
        <v>345.4750813433123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81.400000000000006</v>
      </c>
      <c r="BE25" s="13">
        <f>BD25*VLOOKUP('Données projet'!$B$11,Paramètres!$A$1:$I$89,3,0)*VLOOKUP('Données projet'!$B$11,Paramètres!$A$1:$I$89,5,0)</f>
        <v>73.650720000000007</v>
      </c>
      <c r="BF25" s="13">
        <f t="shared" si="37"/>
        <v>20.577360172493922</v>
      </c>
      <c r="BG25" s="20">
        <f t="shared" si="7"/>
        <v>164.11390630042692</v>
      </c>
      <c r="BH25" s="59">
        <f t="shared" si="8"/>
        <v>447.66946185598249</v>
      </c>
      <c r="BI25" s="59">
        <f ca="1">AVERAGE(OFFSET($BH$3,0,0,'Données projet'!$E$11+1,1))-AVERAGE(OFFSET($H$3,0,0,'Données projet'!$E$11+1,1))</f>
        <v>343.6089004382095</v>
      </c>
      <c r="BJ25" s="59">
        <f t="shared" si="38"/>
        <v>278.21741231699929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10.6</v>
      </c>
      <c r="BY25" s="12">
        <f>IF('Données projet'!$A$114&gt;35,BY24+BX25-CG24,IF(A25&lt;'Données projet'!$A$114,$BV$205^A25,IF(A25='Données projet'!$A$114,'Données projet'!$B$114,BY24+BX25-CG24)))</f>
        <v>81.199999999999974</v>
      </c>
      <c r="BZ25" s="13">
        <f>BY25*VLOOKUP('Données projet'!$B$12,Paramètres!$A$1:$I$89,3,0)*VLOOKUP('Données projet'!$B$12,Paramètres!$A$1:$I$89,5,0)</f>
        <v>63.335999999999984</v>
      </c>
      <c r="CA25" s="13">
        <f t="shared" si="39"/>
        <v>18.009040022946227</v>
      </c>
      <c r="CB25" s="20">
        <f t="shared" si="10"/>
        <v>141.67594470663133</v>
      </c>
      <c r="CC25" s="59">
        <f t="shared" si="11"/>
        <v>425.23150026218684</v>
      </c>
      <c r="CD25" s="59">
        <f ca="1">AVERAGE(OFFSET($CC$3,0,0,'Données projet'!$E$12+1,1))-AVERAGE(OFFSET($H$3,0,0,'Données projet'!$E$12+1,1))</f>
        <v>288.82868507674738</v>
      </c>
      <c r="CE25" s="59">
        <f t="shared" si="40"/>
        <v>283.48738729114024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1.7469658491920339</v>
      </c>
      <c r="CM25" s="21">
        <f>EXP(-LN(2)/2)*CM24+(1-EXP(-LN(2)/2))/(LN(2)/2)*CG25*CJ25*VLOOKUP('Données projet'!$B$12,Paramètres!$A$1:$I$89,3,0)*0.475*44/12</f>
        <v>7.3595099339220305</v>
      </c>
      <c r="CN25" s="22">
        <f t="shared" si="12"/>
        <v>9.1064757831140639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</v>
      </c>
      <c r="CT25" s="12">
        <f>IF('Données projet'!$A$140&gt;35,CT24+CS25-DB24,IF(A25&lt;'Données projet'!$A$140,$CQ$205^A25,IF(A25='Données projet'!$A$140,'Données projet'!$B$140,CT24+CS25-DB24)))</f>
        <v>48</v>
      </c>
      <c r="CU25" s="17">
        <f>CT25*VLOOKUP('Données projet'!$B$13,Paramètres!$A$1:$I$89,3,0)*VLOOKUP('Données projet'!$B$13,Paramètres!$A$1:$I$89,5,0)</f>
        <v>41.184000000000005</v>
      </c>
      <c r="CV25" s="13">
        <f t="shared" si="41"/>
        <v>12.31193147776184</v>
      </c>
      <c r="CW25" s="20">
        <f t="shared" si="13"/>
        <v>93.172080657101858</v>
      </c>
      <c r="CX25" s="59">
        <f t="shared" si="14"/>
        <v>376.72763621265739</v>
      </c>
      <c r="CY25" s="59">
        <f ca="1">AVERAGE(OFFSET($CX$3,0,0,'Données projet'!$E$13+1,1))-AVERAGE(OFFSET($H$3,0,0,'Données projet'!$E$13+1,1))</f>
        <v>273.73158910361786</v>
      </c>
      <c r="CZ25" s="59">
        <f t="shared" si="42"/>
        <v>256.77417912163997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29.8</v>
      </c>
      <c r="DO25" s="12">
        <f>IF('Données projet'!$A$166&gt;35,DO24+DN25-DW24,IF(A25&lt;'Données projet'!$A$166,$DL$205^A25,IF(A25='Données projet'!$A$166,'Données projet'!$B$166,DO24+DN25-DW24)))</f>
        <v>379.59999999999997</v>
      </c>
      <c r="DP25" s="17">
        <f>DO25*VLOOKUP('Données projet'!$B$14,Paramètres!$A$1:$I$89,3,0)*VLOOKUP('Données projet'!$B$14,Paramètres!$A$1:$I$89,5,0)</f>
        <v>212.19639999999998</v>
      </c>
      <c r="DQ25" s="13">
        <f t="shared" si="43"/>
        <v>52.415263324942657</v>
      </c>
      <c r="DR25" s="20">
        <f t="shared" si="16"/>
        <v>460.86531362427507</v>
      </c>
      <c r="DS25" s="59">
        <f t="shared" si="17"/>
        <v>744.42086917983056</v>
      </c>
      <c r="DT25" s="59">
        <f ca="1">AVERAGE(OFFSET($DS$3,0,0,'Données projet'!$E$14+1,1))-AVERAGE(OFFSET($H$3,0,0,'Données projet'!$E$14+1,1))</f>
        <v>534.78683721545372</v>
      </c>
      <c r="DU25" s="59">
        <f t="shared" si="44"/>
        <v>710.59298755711075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1.6910629420178889</v>
      </c>
      <c r="EC25" s="21">
        <f>EXP(-LN(2)/2)*EC24+(1-EXP(-LN(2)/2))/(LN(2)/2)*DW25*DZ25*VLOOKUP('Données projet'!$B$14,Paramètres!$A$1:$I$89,3,0)*0.475*44/12</f>
        <v>2.0886289192470722</v>
      </c>
      <c r="ED25" s="22">
        <f t="shared" si="18"/>
        <v>3.7796918612649613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11</v>
      </c>
      <c r="EJ25" s="12">
        <f>IF('Données projet'!$A$192&gt;35,EJ24+EI25-ER24,IF(A25&lt;'Données projet'!$A$192,$EG$205^A25,IF(A25='Données projet'!$A$192,'Données projet'!$B$192,EJ24+EI25-ER24)))</f>
        <v>78</v>
      </c>
      <c r="EK25" s="17">
        <f>EJ25*VLOOKUP('Données projet'!$B$15,Paramètres!$A$1:$I$89,3,0)*VLOOKUP('Données projet'!$B$15,Paramètres!$A$1:$I$89,5,0)</f>
        <v>68.140800000000013</v>
      </c>
      <c r="EL25" s="13">
        <f t="shared" si="45"/>
        <v>19.211031830304478</v>
      </c>
      <c r="EM25" s="20">
        <f t="shared" si="19"/>
        <v>152.13777377111367</v>
      </c>
      <c r="EN25" s="59">
        <f t="shared" si="20"/>
        <v>435.69332932666919</v>
      </c>
      <c r="EO25" s="59">
        <f ca="1">AVERAGE(OFFSET($EN$3,0,0,'Données projet'!$E$15+1,1))-AVERAGE(OFFSET($H$3,0,0,'Données projet'!$E$15+1,1))</f>
        <v>255.2813753128475</v>
      </c>
      <c r="EP25" s="59">
        <f t="shared" si="46"/>
        <v>317.03005098025352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</v>
      </c>
      <c r="N26" s="13">
        <f>IF('Données projet'!$A$36&gt;35,N25+M26-V25,IF(A26&lt;'Données projet'!$A$36,$K$205^A26,IF(A26='Données projet'!$A$36,'Données projet'!$B$36,N25+M26-V25)))</f>
        <v>89</v>
      </c>
      <c r="O26" s="13">
        <f>N26*VLOOKUP('Données projet'!$B$9,Paramètres!$A$1:$I$89,3,0)*VLOOKUP('Données projet'!$B$9,Paramètres!$A$1:$I$89,5,0)</f>
        <v>65.254800000000003</v>
      </c>
      <c r="P26" s="13">
        <f t="shared" si="33"/>
        <v>18.490286358600809</v>
      </c>
      <c r="Q26" s="20">
        <f t="shared" si="2"/>
        <v>145.85602540789642</v>
      </c>
      <c r="R26" s="59">
        <f t="shared" si="0"/>
        <v>430.6338031856742</v>
      </c>
      <c r="S26" s="59">
        <f ca="1">AVERAGE(OFFSET($R$3,0,0,'Données projet'!$E$9+1,1))-AVERAGE(OFFSET($H$3,0,0,'Données projet'!$E$9+1,1))</f>
        <v>193.60868637458515</v>
      </c>
      <c r="T26" s="59">
        <f t="shared" si="34"/>
        <v>272.97841038165217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14.8</v>
      </c>
      <c r="AI26" s="13">
        <f>IF('Données projet'!$A$62&gt;35,AI25+AH26-AQ25,IF(A26&lt;'Données projet'!$A$62,$AF$205^A26,IF(A26='Données projet'!$A$62,'Données projet'!$B$62,AI25+AH26-AQ25)))</f>
        <v>111.39999999999998</v>
      </c>
      <c r="AJ26" s="13">
        <f>AI26*VLOOKUP('Données projet'!$B$10,Paramètres!$A$1:$I$89,3,0)*VLOOKUP('Données projet'!$B$10,Paramètres!$A$1:$I$89,5,0)</f>
        <v>88.629839999999987</v>
      </c>
      <c r="AK26" s="13">
        <f t="shared" si="35"/>
        <v>24.23448093253452</v>
      </c>
      <c r="AL26" s="20">
        <f t="shared" si="4"/>
        <v>196.57202562416424</v>
      </c>
      <c r="AM26" s="59">
        <f t="shared" si="5"/>
        <v>481.34980340194204</v>
      </c>
      <c r="AN26" s="59">
        <f ca="1">AVERAGE(OFFSET($AM$3,0,0,'Données projet'!$E$10+1,1))-AVERAGE(OFFSET($H$3,0,0,'Données projet'!$E$10+1,1))</f>
        <v>281.79835088425858</v>
      </c>
      <c r="AO26" s="59">
        <f t="shared" si="36"/>
        <v>345.4750813433123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80.165279999999996</v>
      </c>
      <c r="BF26" s="13">
        <f t="shared" si="37"/>
        <v>22.177591092468788</v>
      </c>
      <c r="BG26" s="20">
        <f t="shared" si="7"/>
        <v>178.24716715271646</v>
      </c>
      <c r="BH26" s="59">
        <f t="shared" si="8"/>
        <v>463.02494493049426</v>
      </c>
      <c r="BI26" s="59">
        <f ca="1">AVERAGE(OFFSET($BH$3,0,0,'Données projet'!$E$11+1,1))-AVERAGE(OFFSET($H$3,0,0,'Données projet'!$E$11+1,1))</f>
        <v>343.6089004382095</v>
      </c>
      <c r="BJ26" s="59">
        <f t="shared" si="38"/>
        <v>278.21741231699929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10.6</v>
      </c>
      <c r="BY26" s="12">
        <f>IF('Données projet'!$A$114&gt;35,BY25+BX26-CG25,IF(A26&lt;'Données projet'!$A$114,$BV$205^A26,IF(A26='Données projet'!$A$114,'Données projet'!$B$114,BY25+BX26-CG25)))</f>
        <v>91.799999999999969</v>
      </c>
      <c r="BZ26" s="13">
        <f>BY26*VLOOKUP('Données projet'!$B$12,Paramètres!$A$1:$I$89,3,0)*VLOOKUP('Données projet'!$B$12,Paramètres!$A$1:$I$89,5,0)</f>
        <v>71.603999999999985</v>
      </c>
      <c r="CA26" s="13">
        <f t="shared" si="39"/>
        <v>20.071260561992585</v>
      </c>
      <c r="CB26" s="20">
        <f t="shared" si="10"/>
        <v>159.66774547880371</v>
      </c>
      <c r="CC26" s="59">
        <f t="shared" si="11"/>
        <v>444.44552325658151</v>
      </c>
      <c r="CD26" s="59">
        <f ca="1">AVERAGE(OFFSET($CC$3,0,0,'Données projet'!$E$12+1,1))-AVERAGE(OFFSET($H$3,0,0,'Données projet'!$E$12+1,1))</f>
        <v>288.82868507674738</v>
      </c>
      <c r="CE26" s="59">
        <f t="shared" si="40"/>
        <v>283.48738729114024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1.6991949761769365</v>
      </c>
      <c r="CM26" s="21">
        <f>EXP(-LN(2)/2)*CM25+(1-EXP(-LN(2)/2))/(LN(2)/2)*CG26*CJ26*VLOOKUP('Données projet'!$B$12,Paramètres!$A$1:$I$89,3,0)*0.475*44/12</f>
        <v>5.2039593804860287</v>
      </c>
      <c r="CN26" s="22">
        <f t="shared" si="12"/>
        <v>6.9031543566629647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</v>
      </c>
      <c r="CT26" s="12">
        <f>IF('Données projet'!$A$140&gt;35,CT25+CS26-DB25,IF(A26&lt;'Données projet'!$A$140,$CQ$205^A26,IF(A26='Données projet'!$A$140,'Données projet'!$B$140,CT25+CS26-DB25)))</f>
        <v>56</v>
      </c>
      <c r="CU26" s="17">
        <f>CT26*VLOOKUP('Données projet'!$B$13,Paramètres!$A$1:$I$89,3,0)*VLOOKUP('Données projet'!$B$13,Paramètres!$A$1:$I$89,5,0)</f>
        <v>48.048000000000009</v>
      </c>
      <c r="CV26" s="13">
        <f t="shared" si="41"/>
        <v>14.108484750160622</v>
      </c>
      <c r="CW26" s="20">
        <f t="shared" si="13"/>
        <v>108.25587760652975</v>
      </c>
      <c r="CX26" s="59">
        <f t="shared" si="14"/>
        <v>393.03365538430751</v>
      </c>
      <c r="CY26" s="59">
        <f ca="1">AVERAGE(OFFSET($CX$3,0,0,'Données projet'!$E$13+1,1))-AVERAGE(OFFSET($H$3,0,0,'Données projet'!$E$13+1,1))</f>
        <v>273.73158910361786</v>
      </c>
      <c r="CZ26" s="59">
        <f t="shared" si="42"/>
        <v>256.77417912163997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29.8</v>
      </c>
      <c r="DO26" s="12">
        <f>IF('Données projet'!$A$166&gt;35,DO25+DN26-DW25,IF(A26&lt;'Données projet'!$A$166,$DL$205^A26,IF(A26='Données projet'!$A$166,'Données projet'!$B$166,DO25+DN26-DW25)))</f>
        <v>409.4</v>
      </c>
      <c r="DP26" s="17">
        <f>DO26*VLOOKUP('Données projet'!$B$14,Paramètres!$A$1:$I$89,3,0)*VLOOKUP('Données projet'!$B$14,Paramètres!$A$1:$I$89,5,0)</f>
        <v>228.8546</v>
      </c>
      <c r="DQ26" s="13">
        <f t="shared" si="43"/>
        <v>56.034947356867114</v>
      </c>
      <c r="DR26" s="20">
        <f t="shared" si="16"/>
        <v>496.18262831321022</v>
      </c>
      <c r="DS26" s="59">
        <f t="shared" si="17"/>
        <v>780.96040609098804</v>
      </c>
      <c r="DT26" s="59">
        <f ca="1">AVERAGE(OFFSET($DS$3,0,0,'Données projet'!$E$14+1,1))-AVERAGE(OFFSET($H$3,0,0,'Données projet'!$E$14+1,1))</f>
        <v>534.78683721545372</v>
      </c>
      <c r="DU26" s="59">
        <f t="shared" si="44"/>
        <v>710.59298755711075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1.6448207369392747</v>
      </c>
      <c r="EC26" s="21">
        <f>EXP(-LN(2)/2)*EC25+(1-EXP(-LN(2)/2))/(LN(2)/2)*DW26*DZ26*VLOOKUP('Données projet'!$B$14,Paramètres!$A$1:$I$89,3,0)*0.475*44/12</f>
        <v>1.4768836721819347</v>
      </c>
      <c r="ED26" s="22">
        <f t="shared" si="18"/>
        <v>3.1217044091212092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11</v>
      </c>
      <c r="EJ26" s="12">
        <f>IF('Données projet'!$A$192&gt;35,EJ25+EI26-ER25,IF(A26&lt;'Données projet'!$A$192,$EG$205^A26,IF(A26='Données projet'!$A$192,'Données projet'!$B$192,EJ25+EI26-ER25)))</f>
        <v>89</v>
      </c>
      <c r="EK26" s="17">
        <f>EJ26*VLOOKUP('Données projet'!$B$15,Paramètres!$A$1:$I$89,3,0)*VLOOKUP('Données projet'!$B$15,Paramètres!$A$1:$I$89,5,0)</f>
        <v>77.750400000000013</v>
      </c>
      <c r="EL26" s="13">
        <f t="shared" si="45"/>
        <v>21.586235486267142</v>
      </c>
      <c r="EM26" s="20">
        <f t="shared" si="19"/>
        <v>173.01130680524864</v>
      </c>
      <c r="EN26" s="59">
        <f t="shared" si="20"/>
        <v>457.78908458302641</v>
      </c>
      <c r="EO26" s="59">
        <f ca="1">AVERAGE(OFFSET($EN$3,0,0,'Données projet'!$E$15+1,1))-AVERAGE(OFFSET($H$3,0,0,'Données projet'!$E$15+1,1))</f>
        <v>255.2813753128475</v>
      </c>
      <c r="EP26" s="59">
        <f t="shared" si="46"/>
        <v>317.03005098025352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</v>
      </c>
      <c r="N27" s="13">
        <f>IF('Données projet'!$A$36&gt;35,N26+M27-V26,IF(A27&lt;'Données projet'!$A$36,$K$205^A27,IF(A27='Données projet'!$A$36,'Données projet'!$B$36,N26+M27-V26)))</f>
        <v>100</v>
      </c>
      <c r="O27" s="13">
        <f>N27*VLOOKUP('Données projet'!$B$9,Paramètres!$A$1:$I$89,3,0)*VLOOKUP('Données projet'!$B$9,Paramètres!$A$1:$I$89,5,0)</f>
        <v>73.320000000000007</v>
      </c>
      <c r="P27" s="13">
        <f t="shared" si="33"/>
        <v>20.495693943372068</v>
      </c>
      <c r="Q27" s="20">
        <f t="shared" si="2"/>
        <v>163.39566695137304</v>
      </c>
      <c r="R27" s="59">
        <f t="shared" si="0"/>
        <v>449.39566695137307</v>
      </c>
      <c r="S27" s="59">
        <f ca="1">AVERAGE(OFFSET($R$3,0,0,'Données projet'!$E$9+1,1))-AVERAGE(OFFSET($H$3,0,0,'Données projet'!$E$9+1,1))</f>
        <v>193.60868637458515</v>
      </c>
      <c r="T27" s="59">
        <f t="shared" si="34"/>
        <v>272.97841038165217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14.8</v>
      </c>
      <c r="AI27" s="13">
        <f>IF('Données projet'!$A$62&gt;35,AI26+AH27-AQ26,IF(A27&lt;'Données projet'!$A$62,$AF$205^A27,IF(A27='Données projet'!$A$62,'Données projet'!$B$62,AI26+AH27-AQ26)))</f>
        <v>126.19999999999997</v>
      </c>
      <c r="AJ27" s="13">
        <f>AI27*VLOOKUP('Données projet'!$B$10,Paramètres!$A$1:$I$89,3,0)*VLOOKUP('Données projet'!$B$10,Paramètres!$A$1:$I$89,5,0)</f>
        <v>100.40472</v>
      </c>
      <c r="AK27" s="13">
        <f t="shared" si="35"/>
        <v>27.058393830330502</v>
      </c>
      <c r="AL27" s="20">
        <f t="shared" si="4"/>
        <v>221.99825658782561</v>
      </c>
      <c r="AM27" s="59">
        <f t="shared" si="5"/>
        <v>507.99825658782561</v>
      </c>
      <c r="AN27" s="59">
        <f ca="1">AVERAGE(OFFSET($AM$3,0,0,'Données projet'!$E$10+1,1))-AVERAGE(OFFSET($H$3,0,0,'Données projet'!$E$10+1,1))</f>
        <v>281.79835088425858</v>
      </c>
      <c r="AO27" s="59">
        <f t="shared" si="36"/>
        <v>345.4750813433123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95.800000000000011</v>
      </c>
      <c r="BE27" s="13">
        <f>BD27*VLOOKUP('Données projet'!$B$11,Paramètres!$A$1:$I$89,3,0)*VLOOKUP('Données projet'!$B$11,Paramètres!$A$1:$I$89,5,0)</f>
        <v>86.679839999999999</v>
      </c>
      <c r="BF27" s="13">
        <f t="shared" si="37"/>
        <v>23.762739053789723</v>
      </c>
      <c r="BG27" s="20">
        <f t="shared" si="7"/>
        <v>192.35415851868379</v>
      </c>
      <c r="BH27" s="59">
        <f t="shared" si="8"/>
        <v>478.35415851868379</v>
      </c>
      <c r="BI27" s="59">
        <f ca="1">AVERAGE(OFFSET($BH$3,0,0,'Données projet'!$E$11+1,1))-AVERAGE(OFFSET($H$3,0,0,'Données projet'!$E$11+1,1))</f>
        <v>343.6089004382095</v>
      </c>
      <c r="BJ27" s="59">
        <f t="shared" si="38"/>
        <v>278.21741231699929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10.6</v>
      </c>
      <c r="BY27" s="12">
        <f>IF('Données projet'!$A$114&gt;35,BY26+BX27-CG26,IF(A27&lt;'Données projet'!$A$114,$BV$205^A27,IF(A27='Données projet'!$A$114,'Données projet'!$B$114,BY26+BX27-CG26)))</f>
        <v>102.39999999999996</v>
      </c>
      <c r="BZ27" s="13">
        <f>BY27*VLOOKUP('Données projet'!$B$12,Paramètres!$A$1:$I$89,3,0)*VLOOKUP('Données projet'!$B$12,Paramètres!$A$1:$I$89,5,0)</f>
        <v>79.871999999999971</v>
      </c>
      <c r="CA27" s="13">
        <f t="shared" si="39"/>
        <v>22.105884547145401</v>
      </c>
      <c r="CB27" s="20">
        <f t="shared" si="10"/>
        <v>177.61148225294485</v>
      </c>
      <c r="CC27" s="59">
        <f t="shared" si="11"/>
        <v>463.61148225294482</v>
      </c>
      <c r="CD27" s="59">
        <f ca="1">AVERAGE(OFFSET($CC$3,0,0,'Données projet'!$E$12+1,1))-AVERAGE(OFFSET($H$3,0,0,'Données projet'!$E$12+1,1))</f>
        <v>288.82868507674738</v>
      </c>
      <c r="CE27" s="59">
        <f t="shared" si="40"/>
        <v>283.48738729114024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1.6527304001965979</v>
      </c>
      <c r="CM27" s="21">
        <f>EXP(-LN(2)/2)*CM26+(1-EXP(-LN(2)/2))/(LN(2)/2)*CG27*CJ27*VLOOKUP('Données projet'!$B$12,Paramètres!$A$1:$I$89,3,0)*0.475*44/12</f>
        <v>3.6797549669610161</v>
      </c>
      <c r="CN27" s="22">
        <f t="shared" si="12"/>
        <v>5.3324853671576138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</v>
      </c>
      <c r="CT27" s="12">
        <f>IF('Données projet'!$A$140&gt;35,CT26+CS27-DB26,IF(A27&lt;'Données projet'!$A$140,$CQ$205^A27,IF(A27='Données projet'!$A$140,'Données projet'!$B$140,CT26+CS27-DB26)))</f>
        <v>64</v>
      </c>
      <c r="CU27" s="17">
        <f>CT27*VLOOKUP('Données projet'!$B$13,Paramètres!$A$1:$I$89,3,0)*VLOOKUP('Données projet'!$B$13,Paramètres!$A$1:$I$89,5,0)</f>
        <v>54.912000000000006</v>
      </c>
      <c r="CV27" s="13">
        <f t="shared" si="41"/>
        <v>15.875304254859749</v>
      </c>
      <c r="CW27" s="20">
        <f t="shared" si="13"/>
        <v>123.28788824388072</v>
      </c>
      <c r="CX27" s="59">
        <f t="shared" si="14"/>
        <v>409.28788824388073</v>
      </c>
      <c r="CY27" s="59">
        <f ca="1">AVERAGE(OFFSET($CX$3,0,0,'Données projet'!$E$13+1,1))-AVERAGE(OFFSET($H$3,0,0,'Données projet'!$E$13+1,1))</f>
        <v>273.73158910361786</v>
      </c>
      <c r="CZ27" s="59">
        <f t="shared" si="42"/>
        <v>256.77417912163997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29.8</v>
      </c>
      <c r="DO27" s="12">
        <f>IF('Données projet'!$A$166&gt;35,DO26+DN27-DW26,IF(A27&lt;'Données projet'!$A$166,$DL$205^A27,IF(A27='Données projet'!$A$166,'Données projet'!$B$166,DO26+DN27-DW26)))</f>
        <v>439.2</v>
      </c>
      <c r="DP27" s="17">
        <f>DO27*VLOOKUP('Données projet'!$B$14,Paramètres!$A$1:$I$89,3,0)*VLOOKUP('Données projet'!$B$14,Paramètres!$A$1:$I$89,5,0)</f>
        <v>245.5128</v>
      </c>
      <c r="DQ27" s="13">
        <f t="shared" si="43"/>
        <v>59.624063998553147</v>
      </c>
      <c r="DR27" s="20">
        <f t="shared" si="16"/>
        <v>531.44670479748004</v>
      </c>
      <c r="DS27" s="59">
        <f t="shared" si="17"/>
        <v>817.44670479748004</v>
      </c>
      <c r="DT27" s="59">
        <f ca="1">AVERAGE(OFFSET($DS$3,0,0,'Données projet'!$E$14+1,1))-AVERAGE(OFFSET($H$3,0,0,'Données projet'!$E$14+1,1))</f>
        <v>534.78683721545372</v>
      </c>
      <c r="DU27" s="59">
        <f t="shared" si="44"/>
        <v>710.59298755711075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1.599843027390307</v>
      </c>
      <c r="EC27" s="21">
        <f>EXP(-LN(2)/2)*EC26+(1-EXP(-LN(2)/2))/(LN(2)/2)*DW27*DZ27*VLOOKUP('Données projet'!$B$14,Paramètres!$A$1:$I$89,3,0)*0.475*44/12</f>
        <v>1.0443144596235361</v>
      </c>
      <c r="ED27" s="22">
        <f t="shared" si="18"/>
        <v>2.6441574870138433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11</v>
      </c>
      <c r="EJ27" s="12">
        <f>IF('Données projet'!$A$192&gt;35,EJ26+EI27-ER26,IF(A27&lt;'Données projet'!$A$192,$EG$205^A27,IF(A27='Données projet'!$A$192,'Données projet'!$B$192,EJ26+EI27-ER26)))</f>
        <v>100</v>
      </c>
      <c r="EK27" s="17">
        <f>EJ27*VLOOKUP('Données projet'!$B$15,Paramètres!$A$1:$I$89,3,0)*VLOOKUP('Données projet'!$B$15,Paramètres!$A$1:$I$89,5,0)</f>
        <v>87.360000000000014</v>
      </c>
      <c r="EL27" s="13">
        <f t="shared" si="45"/>
        <v>23.927421530185931</v>
      </c>
      <c r="EM27" s="20">
        <f t="shared" si="19"/>
        <v>193.82559249840719</v>
      </c>
      <c r="EN27" s="59">
        <f t="shared" si="20"/>
        <v>479.82559249840722</v>
      </c>
      <c r="EO27" s="59">
        <f ca="1">AVERAGE(OFFSET($EN$3,0,0,'Données projet'!$E$15+1,1))-AVERAGE(OFFSET($H$3,0,0,'Données projet'!$E$15+1,1))</f>
        <v>255.2813753128475</v>
      </c>
      <c r="EP27" s="59">
        <f t="shared" si="46"/>
        <v>317.03005098025352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111</v>
      </c>
      <c r="L28" s="12">
        <f>VLOOKUP(A28,'Données projet'!$A$35:$I$55,9,0)</f>
        <v>11</v>
      </c>
      <c r="M28" s="12">
        <f t="array" ref="M28">INDEX(L:L,MIN(IF(ISNUMBER(L28:L224),ROW(L28:L224),"")))</f>
        <v>11</v>
      </c>
      <c r="N28" s="13">
        <f>IF('Données projet'!$A$36&gt;35,N27+M28-V27,IF(A28&lt;'Données projet'!$A$36,$K$205^A28,IF(A28='Données projet'!$A$36,'Données projet'!$B$36,N27+M28-V27)))</f>
        <v>111</v>
      </c>
      <c r="O28" s="13">
        <f>N28*VLOOKUP('Données projet'!$B$9,Paramètres!$A$1:$I$89,3,0)*VLOOKUP('Données projet'!$B$9,Paramètres!$A$1:$I$89,5,0)</f>
        <v>81.385199999999998</v>
      </c>
      <c r="P28" s="13">
        <f t="shared" si="33"/>
        <v>22.475533601501123</v>
      </c>
      <c r="Q28" s="20">
        <f t="shared" si="2"/>
        <v>180.89077768928109</v>
      </c>
      <c r="R28" s="59">
        <f t="shared" si="0"/>
        <v>468.11299991150332</v>
      </c>
      <c r="S28" s="59">
        <f ca="1">AVERAGE(OFFSET($R$3,0,0,'Données projet'!$E$9+1,1))-AVERAGE(OFFSET($H$3,0,0,'Données projet'!$E$9+1,1))</f>
        <v>193.60868637458515</v>
      </c>
      <c r="T28" s="59">
        <f t="shared" si="34"/>
        <v>272.97841038165217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26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141</v>
      </c>
      <c r="AG28" s="12">
        <f>VLOOKUP(A28,'Données projet'!$A$61:$I$81,9,0)</f>
        <v>14.8</v>
      </c>
      <c r="AH28" s="12">
        <f t="array" ref="AH28">INDEX(AG:AG,MIN(IF(ISNUMBER(AG28:AG224),ROW(AG28:AG224),"")))</f>
        <v>14.8</v>
      </c>
      <c r="AI28" s="13">
        <f>IF('Données projet'!$A$62&gt;35,AI27+AH28-AQ27,IF(A28&lt;'Données projet'!$A$62,$AF$205^A28,IF(A28='Données projet'!$A$62,'Données projet'!$B$62,AI27+AH28-AQ27)))</f>
        <v>140.99999999999997</v>
      </c>
      <c r="AJ28" s="13">
        <f>AI28*VLOOKUP('Données projet'!$B$10,Paramètres!$A$1:$I$89,3,0)*VLOOKUP('Données projet'!$B$10,Paramètres!$A$1:$I$89,5,0)</f>
        <v>112.17959999999998</v>
      </c>
      <c r="AK28" s="13">
        <f t="shared" si="35"/>
        <v>29.8439274472838</v>
      </c>
      <c r="AL28" s="20">
        <f t="shared" si="4"/>
        <v>247.35764363735257</v>
      </c>
      <c r="AM28" s="59">
        <f t="shared" si="5"/>
        <v>534.57986585957474</v>
      </c>
      <c r="AN28" s="59">
        <f ca="1">AVERAGE(OFFSET($AM$3,0,0,'Données projet'!$E$10+1,1))-AVERAGE(OFFSET($H$3,0,0,'Données projet'!$E$10+1,1))</f>
        <v>281.79835088425858</v>
      </c>
      <c r="AO28" s="59">
        <f t="shared" si="36"/>
        <v>345.4750813433123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35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103.00000000000001</v>
      </c>
      <c r="BE28" s="13">
        <f>BD28*VLOOKUP('Données projet'!$B$11,Paramètres!$A$1:$I$89,3,0)*VLOOKUP('Données projet'!$B$11,Paramètres!$A$1:$I$89,5,0)</f>
        <v>93.194400000000002</v>
      </c>
      <c r="BF28" s="13">
        <f t="shared" si="37"/>
        <v>25.33406653691528</v>
      </c>
      <c r="BG28" s="20">
        <f t="shared" si="7"/>
        <v>206.43707921846078</v>
      </c>
      <c r="BH28" s="59">
        <f t="shared" si="8"/>
        <v>493.65930144068301</v>
      </c>
      <c r="BI28" s="59">
        <f ca="1">AVERAGE(OFFSET($BH$3,0,0,'Données projet'!$E$11+1,1))-AVERAGE(OFFSET($H$3,0,0,'Données projet'!$E$11+1,1))</f>
        <v>343.6089004382095</v>
      </c>
      <c r="BJ28" s="59">
        <f t="shared" si="38"/>
        <v>278.21741231699929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113</v>
      </c>
      <c r="BW28" s="12">
        <f>VLOOKUP(A28,'Données projet'!$A$113:$I$133,9,0)</f>
        <v>10.6</v>
      </c>
      <c r="BX28" s="12">
        <f t="array" ref="BX28">INDEX(BW:BW,MIN(IF(ISNUMBER(BW28:BW224),ROW(BW28:BW224),"")))</f>
        <v>10.6</v>
      </c>
      <c r="BY28" s="12">
        <f>IF('Données projet'!$A$114&gt;35,BY27+BX28-CG27,IF(A28&lt;'Données projet'!$A$114,$BV$205^A28,IF(A28='Données projet'!$A$114,'Données projet'!$B$114,BY27+BX28-CG27)))</f>
        <v>112.99999999999996</v>
      </c>
      <c r="BZ28" s="13">
        <f>BY28*VLOOKUP('Données projet'!$B$12,Paramètres!$A$1:$I$89,3,0)*VLOOKUP('Données projet'!$B$12,Paramètres!$A$1:$I$89,5,0)</f>
        <v>88.139999999999972</v>
      </c>
      <c r="CA28" s="13">
        <f t="shared" si="39"/>
        <v>24.116094026318823</v>
      </c>
      <c r="CB28" s="20">
        <f t="shared" si="10"/>
        <v>195.51269709583855</v>
      </c>
      <c r="CC28" s="59">
        <f t="shared" si="11"/>
        <v>482.73491931806075</v>
      </c>
      <c r="CD28" s="59">
        <f ca="1">AVERAGE(OFFSET($CC$3,0,0,'Données projet'!$E$12+1,1))-AVERAGE(OFFSET($H$3,0,0,'Données projet'!$E$12+1,1))</f>
        <v>288.82868507674738</v>
      </c>
      <c r="CE28" s="59">
        <f t="shared" si="40"/>
        <v>283.48738729114024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8.6000000000000007E-2</v>
      </c>
      <c r="CJ28" s="16">
        <f>IF(ISNA(VLOOKUP(A28,'Données projet'!$A$113:$I$133,7,0)),0%,VLOOKUP(A28,'Données projet'!$A$113:$I$133,7,0))</f>
        <v>0.8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3.6018367728377676</v>
      </c>
      <c r="CM28" s="21">
        <f>EXP(-LN(2)/2)*CM27+(1-EXP(-LN(2)/2))/(LN(2)/2)*CG28*CJ28*VLOOKUP('Données projet'!$B$12,Paramètres!$A$1:$I$89,3,0)*0.475*44/12</f>
        <v>18.498521147514595</v>
      </c>
      <c r="CN28" s="22">
        <f t="shared" si="12"/>
        <v>22.100357920352362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72</v>
      </c>
      <c r="CR28" s="12">
        <f>VLOOKUP(A28,'Données projet'!$A$139:$I$159,9,0)</f>
        <v>8</v>
      </c>
      <c r="CS28" s="12">
        <f t="array" ref="CS28">INDEX(CR:CR,MIN(IF(ISNUMBER(CR28:CR224),ROW(CR28:CR224),"")))</f>
        <v>8</v>
      </c>
      <c r="CT28" s="12">
        <f>IF('Données projet'!$A$140&gt;35,CT27+CS28-DB27,IF(A28&lt;'Données projet'!$A$140,$CQ$205^A28,IF(A28='Données projet'!$A$140,'Données projet'!$B$140,CT27+CS28-DB27)))</f>
        <v>72</v>
      </c>
      <c r="CU28" s="17">
        <f>CT28*VLOOKUP('Données projet'!$B$13,Paramètres!$A$1:$I$89,3,0)*VLOOKUP('Données projet'!$B$13,Paramètres!$A$1:$I$89,5,0)</f>
        <v>61.776000000000003</v>
      </c>
      <c r="CV28" s="13">
        <f t="shared" si="41"/>
        <v>17.616532373802876</v>
      </c>
      <c r="CW28" s="20">
        <f t="shared" si="13"/>
        <v>138.27532721770669</v>
      </c>
      <c r="CX28" s="59">
        <f t="shared" si="14"/>
        <v>425.49754943992889</v>
      </c>
      <c r="CY28" s="59">
        <f ca="1">AVERAGE(OFFSET($CX$3,0,0,'Données projet'!$E$13+1,1))-AVERAGE(OFFSET($H$3,0,0,'Données projet'!$E$13+1,1))</f>
        <v>273.73158910361786</v>
      </c>
      <c r="CZ28" s="59">
        <f t="shared" si="42"/>
        <v>256.77417912163997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469</v>
      </c>
      <c r="DM28" s="12">
        <f>VLOOKUP(A28,'Données projet'!$A$165:$I$185,9,0)</f>
        <v>29.8</v>
      </c>
      <c r="DN28" s="12">
        <f t="array" ref="DN28">INDEX(DM:DM,MIN(IF(ISNUMBER(DM28:DM224),ROW(DM28:DM224),"")))</f>
        <v>29.8</v>
      </c>
      <c r="DO28" s="12">
        <f>IF('Données projet'!$A$166&gt;35,DO27+DN28-DW27,IF(A28&lt;'Données projet'!$A$166,$DL$205^A28,IF(A28='Données projet'!$A$166,'Données projet'!$B$166,DO27+DN28-DW27)))</f>
        <v>469</v>
      </c>
      <c r="DP28" s="17">
        <f>DO28*VLOOKUP('Données projet'!$B$14,Paramètres!$A$1:$I$89,3,0)*VLOOKUP('Données projet'!$B$14,Paramètres!$A$1:$I$89,5,0)</f>
        <v>262.17099999999999</v>
      </c>
      <c r="DQ28" s="13">
        <f t="shared" si="43"/>
        <v>63.184923227726436</v>
      </c>
      <c r="DR28" s="20">
        <f t="shared" si="16"/>
        <v>566.66156628829015</v>
      </c>
      <c r="DS28" s="59">
        <f t="shared" si="17"/>
        <v>853.88378851051243</v>
      </c>
      <c r="DT28" s="59">
        <f ca="1">AVERAGE(OFFSET($DS$3,0,0,'Données projet'!$E$14+1,1))-AVERAGE(OFFSET($H$3,0,0,'Données projet'!$E$14+1,1))</f>
        <v>534.78683721545372</v>
      </c>
      <c r="DU28" s="59">
        <f t="shared" si="44"/>
        <v>710.59298755711075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46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0.22000000000000003</v>
      </c>
      <c r="DZ28" s="16">
        <f>IF(ISNA(VLOOKUP(A28,'Données projet'!$A$165:$I$185,7,0)),0%,VLOOKUP(A28,'Données projet'!$A$165:$I$185,7,0))</f>
        <v>0.6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9.0310284831410268</v>
      </c>
      <c r="EC28" s="21">
        <f>EXP(-LN(2)/2)*EC27+(1-EXP(-LN(2)/2))/(LN(2)/2)*DW28*DZ28*VLOOKUP('Données projet'!$B$14,Paramètres!$A$1:$I$89,3,0)*0.475*44/12</f>
        <v>18.206974615248292</v>
      </c>
      <c r="ED28" s="22">
        <f t="shared" si="18"/>
        <v>27.238003098389321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111</v>
      </c>
      <c r="EH28" s="12">
        <f>VLOOKUP(A28,'Données projet'!$A$191:$I$211,9,0)</f>
        <v>11</v>
      </c>
      <c r="EI28" s="12">
        <f t="array" ref="EI28">INDEX(EH:EH,MIN(IF(ISNUMBER(EH28:EH224),ROW(EH28:EH224),"")))</f>
        <v>11</v>
      </c>
      <c r="EJ28" s="12">
        <f>IF('Données projet'!$A$192&gt;35,EJ27+EI28-ER27,IF(A28&lt;'Données projet'!$A$192,$EG$205^A28,IF(A28='Données projet'!$A$192,'Données projet'!$B$192,EJ27+EI28-ER27)))</f>
        <v>111</v>
      </c>
      <c r="EK28" s="17">
        <f>EJ28*VLOOKUP('Données projet'!$B$15,Paramètres!$A$1:$I$89,3,0)*VLOOKUP('Données projet'!$B$15,Paramètres!$A$1:$I$89,5,0)</f>
        <v>96.969600000000014</v>
      </c>
      <c r="EL28" s="13">
        <f t="shared" si="45"/>
        <v>26.238758642904337</v>
      </c>
      <c r="EM28" s="20">
        <f t="shared" si="19"/>
        <v>214.58789130305843</v>
      </c>
      <c r="EN28" s="59">
        <f t="shared" si="20"/>
        <v>501.81011352528066</v>
      </c>
      <c r="EO28" s="59">
        <f ca="1">AVERAGE(OFFSET($EN$3,0,0,'Données projet'!$E$15+1,1))-AVERAGE(OFFSET($H$3,0,0,'Données projet'!$E$15+1,1))</f>
        <v>255.2813753128475</v>
      </c>
      <c r="EP28" s="59">
        <f t="shared" si="46"/>
        <v>317.03005098025352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26</v>
      </c>
      <c r="ES28" s="16">
        <f>IF(ISNA(VLOOKUP(A28,'Données projet'!$A$191:$I$211,5,0)),0%,VLOOKUP(A28,'Données projet'!$A$191:$I$211,5,0)*VLOOKUP('Données projet'!$B$15,Paramètres!$A$1:$I$89,7,0))</f>
        <v>4.3000000000000003E-2</v>
      </c>
      <c r="ET28" s="16">
        <f>IF(ISNA(VLOOKUP(A28,'Données projet'!$A$191:$I$211,6,0)),0%,VLOOKUP(A28,'Données projet'!$A$191:$I$211,6,0)*VLOOKUP('Données projet'!$B$15,Paramètres!$A$1:$I$89,7,0))</f>
        <v>0.17200000000000001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1.0796961165400638</v>
      </c>
      <c r="EW28" s="21">
        <f>EXP(-LN(2)/25)*EW27+(1-EXP(-LN(2)/25))/(LN(2)/25)*Calculateur!ER28*Calculateur!ET28*VLOOKUP('Données projet'!$B$15,Paramètres!$A$1:$I$89,3,0)*0.475*44/12</f>
        <v>4.3017797661310881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5.3814758826711522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12.2</v>
      </c>
      <c r="N29" s="13">
        <f>IF('Données projet'!$A$36&gt;35,N28+M29-V28,IF(A29&lt;'Données projet'!$A$36,$K$205^A29,IF(A29='Données projet'!$A$36,'Données projet'!$B$36,N28+M29-V28)))</f>
        <v>97.2</v>
      </c>
      <c r="O29" s="13">
        <f>N29*VLOOKUP('Données projet'!$B$9,Paramètres!$A$1:$I$89,3,0)*VLOOKUP('Données projet'!$B$9,Paramètres!$A$1:$I$89,5,0)</f>
        <v>71.267039999999994</v>
      </c>
      <c r="P29" s="13">
        <f t="shared" si="33"/>
        <v>19.987779001267139</v>
      </c>
      <c r="Q29" s="20">
        <f t="shared" si="2"/>
        <v>158.93547642720694</v>
      </c>
      <c r="R29" s="59">
        <f t="shared" si="0"/>
        <v>447.37992087165139</v>
      </c>
      <c r="S29" s="59">
        <f ca="1">AVERAGE(OFFSET($R$3,0,0,'Données projet'!$E$9+1,1))-AVERAGE(OFFSET($H$3,0,0,'Données projet'!$E$9+1,1))</f>
        <v>193.60868637458515</v>
      </c>
      <c r="T29" s="59">
        <f t="shared" si="34"/>
        <v>272.97841038165217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120.19999999999996</v>
      </c>
      <c r="AJ29" s="13">
        <f>AI29*VLOOKUP('Données projet'!$B$10,Paramètres!$A$1:$I$89,3,0)*VLOOKUP('Données projet'!$B$10,Paramètres!$A$1:$I$89,5,0)</f>
        <v>95.631119999999967</v>
      </c>
      <c r="AK29" s="13">
        <f t="shared" si="35"/>
        <v>25.918481589892234</v>
      </c>
      <c r="AL29" s="20">
        <f t="shared" si="4"/>
        <v>211.69888943572892</v>
      </c>
      <c r="AM29" s="59">
        <f t="shared" si="5"/>
        <v>500.14333388017337</v>
      </c>
      <c r="AN29" s="59">
        <f ca="1">AVERAGE(OFFSET($AM$3,0,0,'Données projet'!$E$10+1,1))-AVERAGE(OFFSET($H$3,0,0,'Données projet'!$E$10+1,1))</f>
        <v>281.79835088425858</v>
      </c>
      <c r="AO29" s="59">
        <f t="shared" si="36"/>
        <v>345.4750813433123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84.200000000000017</v>
      </c>
      <c r="BE29" s="13">
        <f>BD29*VLOOKUP('Données projet'!$B$11,Paramètres!$A$1:$I$89,3,0)*VLOOKUP('Données projet'!$B$11,Paramètres!$A$1:$I$89,5,0)</f>
        <v>76.184160000000006</v>
      </c>
      <c r="BF29" s="13">
        <f t="shared" si="37"/>
        <v>21.201554232857223</v>
      </c>
      <c r="BG29" s="20">
        <f t="shared" si="7"/>
        <v>169.613452288893</v>
      </c>
      <c r="BH29" s="59">
        <f t="shared" si="8"/>
        <v>458.05789673333743</v>
      </c>
      <c r="BI29" s="59">
        <f ca="1">AVERAGE(OFFSET($BH$3,0,0,'Données projet'!$E$11+1,1))-AVERAGE(OFFSET($H$3,0,0,'Données projet'!$E$11+1,1))</f>
        <v>343.6089004382095</v>
      </c>
      <c r="BJ29" s="59">
        <f t="shared" si="38"/>
        <v>278.21741231699929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11.5</v>
      </c>
      <c r="BY29" s="12">
        <f>IF('Données projet'!$A$114&gt;35,BY28+BX29-CG28,IF(A29&lt;'Données projet'!$A$114,$BV$205^A29,IF(A29='Données projet'!$A$114,'Données projet'!$B$114,BY28+BX29-CG28)))</f>
        <v>97.499999999999957</v>
      </c>
      <c r="BZ29" s="13">
        <f>BY29*VLOOKUP('Données projet'!$B$12,Paramètres!$A$1:$I$89,3,0)*VLOOKUP('Données projet'!$B$12,Paramètres!$A$1:$I$89,5,0)</f>
        <v>76.049999999999969</v>
      </c>
      <c r="CA29" s="13">
        <f t="shared" si="39"/>
        <v>21.168560890749262</v>
      </c>
      <c r="CB29" s="20">
        <f t="shared" si="10"/>
        <v>169.32232688472158</v>
      </c>
      <c r="CC29" s="59">
        <f t="shared" si="11"/>
        <v>457.76677132916603</v>
      </c>
      <c r="CD29" s="59">
        <f ca="1">AVERAGE(OFFSET($CC$3,0,0,'Données projet'!$E$12+1,1))-AVERAGE(OFFSET($H$3,0,0,'Données projet'!$E$12+1,1))</f>
        <v>288.82868507674738</v>
      </c>
      <c r="CE29" s="59">
        <f t="shared" si="40"/>
        <v>283.48738729114024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3.5033443568721552</v>
      </c>
      <c r="CM29" s="21">
        <f>EXP(-LN(2)/2)*CM28+(1-EXP(-LN(2)/2))/(LN(2)/2)*CG29*CJ29*VLOOKUP('Données projet'!$B$12,Paramètres!$A$1:$I$89,3,0)*0.475*44/12</f>
        <v>13.080429745330326</v>
      </c>
      <c r="CN29" s="22">
        <f t="shared" si="12"/>
        <v>16.583774102202483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10.199999999999999</v>
      </c>
      <c r="CT29" s="12">
        <f>IF('Données projet'!$A$140&gt;35,CT28+CS29-DB28,IF(A29&lt;'Données projet'!$A$140,$CQ$205^A29,IF(A29='Données projet'!$A$140,'Données projet'!$B$140,CT28+CS29-DB28)))</f>
        <v>75.2</v>
      </c>
      <c r="CU29" s="17">
        <f>CT29*VLOOKUP('Données projet'!$B$13,Paramètres!$A$1:$I$89,3,0)*VLOOKUP('Données projet'!$B$13,Paramètres!$A$1:$I$89,5,0)</f>
        <v>64.521600000000007</v>
      </c>
      <c r="CV29" s="13">
        <f t="shared" si="41"/>
        <v>18.306592584126989</v>
      </c>
      <c r="CW29" s="20">
        <f t="shared" si="13"/>
        <v>144.25910208402118</v>
      </c>
      <c r="CX29" s="59">
        <f t="shared" si="14"/>
        <v>432.70354652846561</v>
      </c>
      <c r="CY29" s="59">
        <f ca="1">AVERAGE(OFFSET($CX$3,0,0,'Données projet'!$E$13+1,1))-AVERAGE(OFFSET($H$3,0,0,'Données projet'!$E$13+1,1))</f>
        <v>273.73158910361786</v>
      </c>
      <c r="CZ29" s="59">
        <f t="shared" si="42"/>
        <v>256.77417912163997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27.4</v>
      </c>
      <c r="DO29" s="12">
        <f>IF('Données projet'!$A$166&gt;35,DO28+DN29-DW28,IF(A29&lt;'Données projet'!$A$166,$DL$205^A29,IF(A29='Données projet'!$A$166,'Données projet'!$B$166,DO28+DN29-DW28)))</f>
        <v>450.4</v>
      </c>
      <c r="DP29" s="17">
        <f>DO29*VLOOKUP('Données projet'!$B$14,Paramètres!$A$1:$I$89,3,0)*VLOOKUP('Données projet'!$B$14,Paramètres!$A$1:$I$89,5,0)</f>
        <v>251.77360000000002</v>
      </c>
      <c r="DQ29" s="13">
        <f t="shared" si="43"/>
        <v>60.965574198020335</v>
      </c>
      <c r="DR29" s="20">
        <f t="shared" si="16"/>
        <v>544.68739506155214</v>
      </c>
      <c r="DS29" s="59">
        <f t="shared" si="17"/>
        <v>833.1318395059966</v>
      </c>
      <c r="DT29" s="59">
        <f ca="1">AVERAGE(OFFSET($DS$3,0,0,'Données projet'!$E$14+1,1))-AVERAGE(OFFSET($H$3,0,0,'Données projet'!$E$14+1,1))</f>
        <v>534.78683721545372</v>
      </c>
      <c r="DU29" s="59">
        <f t="shared" si="44"/>
        <v>710.59298755711075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8.7840745343483881</v>
      </c>
      <c r="EC29" s="21">
        <f>EXP(-LN(2)/2)*EC28+(1-EXP(-LN(2)/2))/(LN(2)/2)*DW29*DZ29*VLOOKUP('Données projet'!$B$14,Paramètres!$A$1:$I$89,3,0)*0.475*44/12</f>
        <v>12.8742752153334</v>
      </c>
      <c r="ED29" s="22">
        <f t="shared" si="18"/>
        <v>21.65834974968179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12.2</v>
      </c>
      <c r="EJ29" s="12">
        <f>IF('Données projet'!$A$192&gt;35,EJ28+EI29-ER28,IF(A29&lt;'Données projet'!$A$192,$EG$205^A29,IF(A29='Données projet'!$A$192,'Données projet'!$B$192,EJ28+EI29-ER28)))</f>
        <v>97.2</v>
      </c>
      <c r="EK29" s="17">
        <f>EJ29*VLOOKUP('Données projet'!$B$15,Paramètres!$A$1:$I$89,3,0)*VLOOKUP('Données projet'!$B$15,Paramètres!$A$1:$I$89,5,0)</f>
        <v>84.913920000000019</v>
      </c>
      <c r="EL29" s="13">
        <f t="shared" si="45"/>
        <v>23.334463079752275</v>
      </c>
      <c r="EM29" s="20">
        <f t="shared" si="19"/>
        <v>188.5326005305686</v>
      </c>
      <c r="EN29" s="59">
        <f t="shared" si="20"/>
        <v>476.97704497501309</v>
      </c>
      <c r="EO29" s="59">
        <f ca="1">AVERAGE(OFFSET($EN$3,0,0,'Données projet'!$E$15+1,1))-AVERAGE(OFFSET($H$3,0,0,'Données projet'!$E$15+1,1))</f>
        <v>255.2813753128475</v>
      </c>
      <c r="EP29" s="59">
        <f t="shared" si="46"/>
        <v>317.03005098025352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1.0585239342443178</v>
      </c>
      <c r="EW29" s="21">
        <f>EXP(-LN(2)/25)*EW28+(1-EXP(-LN(2)/25))/(LN(2)/25)*Calculateur!ER29*Calculateur!ET29*VLOOKUP('Données projet'!$B$15,Paramètres!$A$1:$I$89,3,0)*0.475*44/12</f>
        <v>4.1841473722054676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5.2426713064497852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12.2</v>
      </c>
      <c r="N30" s="13">
        <f>IF('Données projet'!$A$36&gt;35,N29+M30-V29,IF(A30&lt;'Données projet'!$A$36,$K$205^A30,IF(A30='Données projet'!$A$36,'Données projet'!$B$36,N29+M30-V29)))</f>
        <v>109.4</v>
      </c>
      <c r="O30" s="13">
        <f>N30*VLOOKUP('Données projet'!$B$9,Paramètres!$A$1:$I$89,3,0)*VLOOKUP('Données projet'!$B$9,Paramètres!$A$1:$I$89,5,0)</f>
        <v>80.21208</v>
      </c>
      <c r="P30" s="13">
        <f t="shared" si="33"/>
        <v>22.189030798521017</v>
      </c>
      <c r="Q30" s="20">
        <f t="shared" si="2"/>
        <v>178.3486013074241</v>
      </c>
      <c r="R30" s="59">
        <f t="shared" si="0"/>
        <v>468.01526797409076</v>
      </c>
      <c r="S30" s="59">
        <f ca="1">AVERAGE(OFFSET($R$3,0,0,'Données projet'!$E$9+1,1))-AVERAGE(OFFSET($H$3,0,0,'Données projet'!$E$9+1,1))</f>
        <v>193.60868637458515</v>
      </c>
      <c r="T30" s="59">
        <f t="shared" si="34"/>
        <v>272.97841038165217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134.39999999999995</v>
      </c>
      <c r="AJ30" s="13">
        <f>AI30*VLOOKUP('Données projet'!$B$10,Paramètres!$A$1:$I$89,3,0)*VLOOKUP('Données projet'!$B$10,Paramètres!$A$1:$I$89,5,0)</f>
        <v>106.92863999999996</v>
      </c>
      <c r="AK30" s="13">
        <f t="shared" si="35"/>
        <v>28.606159868782917</v>
      </c>
      <c r="AL30" s="20">
        <f t="shared" si="4"/>
        <v>236.05644310479681</v>
      </c>
      <c r="AM30" s="59">
        <f t="shared" si="5"/>
        <v>525.72310977146344</v>
      </c>
      <c r="AN30" s="59">
        <f ca="1">AVERAGE(OFFSET($AM$3,0,0,'Données projet'!$E$10+1,1))-AVERAGE(OFFSET($H$3,0,0,'Données projet'!$E$10+1,1))</f>
        <v>281.79835088425858</v>
      </c>
      <c r="AO30" s="59">
        <f t="shared" si="36"/>
        <v>345.4750813433123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93.40000000000002</v>
      </c>
      <c r="BE30" s="13">
        <f>BD30*VLOOKUP('Données projet'!$B$11,Paramètres!$A$1:$I$89,3,0)*VLOOKUP('Données projet'!$B$11,Paramètres!$A$1:$I$89,5,0)</f>
        <v>84.508320000000026</v>
      </c>
      <c r="BF30" s="13">
        <f t="shared" si="37"/>
        <v>23.235950088324714</v>
      </c>
      <c r="BG30" s="20">
        <f t="shared" si="7"/>
        <v>187.65460373716556</v>
      </c>
      <c r="BH30" s="59">
        <f t="shared" si="8"/>
        <v>477.32127040383227</v>
      </c>
      <c r="BI30" s="59">
        <f ca="1">AVERAGE(OFFSET($BH$3,0,0,'Données projet'!$E$11+1,1))-AVERAGE(OFFSET($H$3,0,0,'Données projet'!$E$11+1,1))</f>
        <v>343.6089004382095</v>
      </c>
      <c r="BJ30" s="59">
        <f t="shared" si="38"/>
        <v>278.21741231699929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11.5</v>
      </c>
      <c r="BY30" s="12">
        <f>IF('Données projet'!$A$114&gt;35,BY29+BX30-CG29,IF(A30&lt;'Données projet'!$A$114,$BV$205^A30,IF(A30='Données projet'!$A$114,'Données projet'!$B$114,BY29+BX30-CG29)))</f>
        <v>108.99999999999996</v>
      </c>
      <c r="BZ30" s="13">
        <f>BY30*VLOOKUP('Données projet'!$B$12,Paramètres!$A$1:$I$89,3,0)*VLOOKUP('Données projet'!$B$12,Paramètres!$A$1:$I$89,5,0)</f>
        <v>85.019999999999968</v>
      </c>
      <c r="CA30" s="13">
        <f t="shared" si="39"/>
        <v>23.360218970693097</v>
      </c>
      <c r="CB30" s="20">
        <f t="shared" si="10"/>
        <v>188.76221470729038</v>
      </c>
      <c r="CC30" s="59">
        <f t="shared" si="11"/>
        <v>478.4288813739571</v>
      </c>
      <c r="CD30" s="59">
        <f ca="1">AVERAGE(OFFSET($CC$3,0,0,'Données projet'!$E$12+1,1))-AVERAGE(OFFSET($H$3,0,0,'Données projet'!$E$12+1,1))</f>
        <v>288.82868507674738</v>
      </c>
      <c r="CE30" s="59">
        <f t="shared" si="40"/>
        <v>283.48738729114024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3.4075452212006132</v>
      </c>
      <c r="CM30" s="21">
        <f>EXP(-LN(2)/2)*CM29+(1-EXP(-LN(2)/2))/(LN(2)/2)*CG30*CJ30*VLOOKUP('Données projet'!$B$12,Paramètres!$A$1:$I$89,3,0)*0.475*44/12</f>
        <v>9.249260573757299</v>
      </c>
      <c r="CN30" s="22">
        <f t="shared" si="12"/>
        <v>12.656805794957911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10.199999999999999</v>
      </c>
      <c r="CT30" s="12">
        <f>IF('Données projet'!$A$140&gt;35,CT29+CS30-DB29,IF(A30&lt;'Données projet'!$A$140,$CQ$205^A30,IF(A30='Données projet'!$A$140,'Données projet'!$B$140,CT29+CS30-DB29)))</f>
        <v>85.4</v>
      </c>
      <c r="CU30" s="17">
        <f>CT30*VLOOKUP('Données projet'!$B$13,Paramètres!$A$1:$I$89,3,0)*VLOOKUP('Données projet'!$B$13,Paramètres!$A$1:$I$89,5,0)</f>
        <v>73.273200000000017</v>
      </c>
      <c r="CV30" s="13">
        <f t="shared" si="41"/>
        <v>20.484133942460197</v>
      </c>
      <c r="CW30" s="20">
        <f t="shared" si="13"/>
        <v>163.29402328311821</v>
      </c>
      <c r="CX30" s="59">
        <f t="shared" si="14"/>
        <v>452.96068994978486</v>
      </c>
      <c r="CY30" s="59">
        <f ca="1">AVERAGE(OFFSET($CX$3,0,0,'Données projet'!$E$13+1,1))-AVERAGE(OFFSET($H$3,0,0,'Données projet'!$E$13+1,1))</f>
        <v>273.73158910361786</v>
      </c>
      <c r="CZ30" s="59">
        <f t="shared" si="42"/>
        <v>256.77417912163997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27.4</v>
      </c>
      <c r="DO30" s="12">
        <f>IF('Données projet'!$A$166&gt;35,DO29+DN30-DW29,IF(A30&lt;'Données projet'!$A$166,$DL$205^A30,IF(A30='Données projet'!$A$166,'Données projet'!$B$166,DO29+DN30-DW29)))</f>
        <v>477.79999999999995</v>
      </c>
      <c r="DP30" s="17">
        <f>DO30*VLOOKUP('Données projet'!$B$14,Paramètres!$A$1:$I$89,3,0)*VLOOKUP('Données projet'!$B$14,Paramètres!$A$1:$I$89,5,0)</f>
        <v>267.09019999999998</v>
      </c>
      <c r="DQ30" s="13">
        <f t="shared" si="43"/>
        <v>64.231347395864233</v>
      </c>
      <c r="DR30" s="20">
        <f t="shared" si="16"/>
        <v>577.0516950477969</v>
      </c>
      <c r="DS30" s="59">
        <f t="shared" si="17"/>
        <v>866.71836171446353</v>
      </c>
      <c r="DT30" s="59">
        <f ca="1">AVERAGE(OFFSET($DS$3,0,0,'Données projet'!$E$14+1,1))-AVERAGE(OFFSET($H$3,0,0,'Données projet'!$E$14+1,1))</f>
        <v>534.78683721545372</v>
      </c>
      <c r="DU30" s="59">
        <f t="shared" si="44"/>
        <v>710.59298755711075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8.5438735542722277</v>
      </c>
      <c r="EC30" s="21">
        <f>EXP(-LN(2)/2)*EC29+(1-EXP(-LN(2)/2))/(LN(2)/2)*DW30*DZ30*VLOOKUP('Données projet'!$B$14,Paramètres!$A$1:$I$89,3,0)*0.475*44/12</f>
        <v>9.1034873076241478</v>
      </c>
      <c r="ED30" s="22">
        <f t="shared" si="18"/>
        <v>17.647360861896374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12.2</v>
      </c>
      <c r="EJ30" s="12">
        <f>IF('Données projet'!$A$192&gt;35,EJ29+EI30-ER29,IF(A30&lt;'Données projet'!$A$192,$EG$205^A30,IF(A30='Données projet'!$A$192,'Données projet'!$B$192,EJ29+EI30-ER29)))</f>
        <v>109.4</v>
      </c>
      <c r="EK30" s="17">
        <f>EJ30*VLOOKUP('Données projet'!$B$15,Paramètres!$A$1:$I$89,3,0)*VLOOKUP('Données projet'!$B$15,Paramètres!$A$1:$I$89,5,0)</f>
        <v>95.571840000000023</v>
      </c>
      <c r="EL30" s="13">
        <f t="shared" si="45"/>
        <v>25.90428480876994</v>
      </c>
      <c r="EM30" s="20">
        <f t="shared" si="19"/>
        <v>211.57091737527435</v>
      </c>
      <c r="EN30" s="59">
        <f t="shared" si="20"/>
        <v>501.23758404194103</v>
      </c>
      <c r="EO30" s="59">
        <f ca="1">AVERAGE(OFFSET($EN$3,0,0,'Données projet'!$E$15+1,1))-AVERAGE(OFFSET($H$3,0,0,'Données projet'!$E$15+1,1))</f>
        <v>255.2813753128475</v>
      </c>
      <c r="EP30" s="59">
        <f t="shared" si="46"/>
        <v>317.03005098025352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1.0377669255296353</v>
      </c>
      <c r="EW30" s="21">
        <f>EXP(-LN(2)/25)*EW29+(1-EXP(-LN(2)/25))/(LN(2)/25)*Calculateur!ER30*Calculateur!ET30*VLOOKUP('Données projet'!$B$15,Paramètres!$A$1:$I$89,3,0)*0.475*44/12</f>
        <v>4.0697316422777616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5.1074985678073972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12.2</v>
      </c>
      <c r="N31" s="13">
        <f>IF('Données projet'!$A$36&gt;35,N30+M31-V30,IF(A31&lt;'Données projet'!$A$36,$K$205^A31,IF(A31='Données projet'!$A$36,'Données projet'!$B$36,N30+M31-V30)))</f>
        <v>121.60000000000001</v>
      </c>
      <c r="O31" s="13">
        <f>N31*VLOOKUP('Données projet'!$B$9,Paramètres!$A$1:$I$89,3,0)*VLOOKUP('Données projet'!$B$9,Paramètres!$A$1:$I$89,5,0)</f>
        <v>89.157120000000006</v>
      </c>
      <c r="P31" s="13">
        <f t="shared" si="33"/>
        <v>24.361831444760703</v>
      </c>
      <c r="Q31" s="20">
        <f t="shared" si="2"/>
        <v>197.71217376629156</v>
      </c>
      <c r="R31" s="59">
        <f t="shared" si="0"/>
        <v>488.60106265518039</v>
      </c>
      <c r="S31" s="59">
        <f ca="1">AVERAGE(OFFSET($R$3,0,0,'Données projet'!$E$9+1,1))-AVERAGE(OFFSET($H$3,0,0,'Données projet'!$E$9+1,1))</f>
        <v>193.60868637458515</v>
      </c>
      <c r="T31" s="59">
        <f t="shared" si="34"/>
        <v>272.97841038165217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148.59999999999994</v>
      </c>
      <c r="AJ31" s="13">
        <f>AI31*VLOOKUP('Données projet'!$B$10,Paramètres!$A$1:$I$89,3,0)*VLOOKUP('Données projet'!$B$10,Paramètres!$A$1:$I$89,5,0)</f>
        <v>118.22615999999996</v>
      </c>
      <c r="AK31" s="13">
        <f t="shared" si="35"/>
        <v>31.260922342884676</v>
      </c>
      <c r="AL31" s="20">
        <f t="shared" si="4"/>
        <v>260.35666841385739</v>
      </c>
      <c r="AM31" s="59">
        <f t="shared" si="5"/>
        <v>551.24555730274619</v>
      </c>
      <c r="AN31" s="59">
        <f ca="1">AVERAGE(OFFSET($AM$3,0,0,'Données projet'!$E$10+1,1))-AVERAGE(OFFSET($H$3,0,0,'Données projet'!$E$10+1,1))</f>
        <v>281.79835088425858</v>
      </c>
      <c r="AO31" s="59">
        <f t="shared" si="36"/>
        <v>345.4750813433123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102.60000000000002</v>
      </c>
      <c r="BE31" s="13">
        <f>BD31*VLOOKUP('Données projet'!$B$11,Paramètres!$A$1:$I$89,3,0)*VLOOKUP('Données projet'!$B$11,Paramètres!$A$1:$I$89,5,0)</f>
        <v>92.832480000000018</v>
      </c>
      <c r="BF31" s="13">
        <f t="shared" si="37"/>
        <v>25.247114117480137</v>
      </c>
      <c r="BG31" s="20">
        <f t="shared" si="7"/>
        <v>205.65529308794461</v>
      </c>
      <c r="BH31" s="59">
        <f t="shared" si="8"/>
        <v>496.54418197683344</v>
      </c>
      <c r="BI31" s="59">
        <f ca="1">AVERAGE(OFFSET($BH$3,0,0,'Données projet'!$E$11+1,1))-AVERAGE(OFFSET($H$3,0,0,'Données projet'!$E$11+1,1))</f>
        <v>343.6089004382095</v>
      </c>
      <c r="BJ31" s="59">
        <f t="shared" si="38"/>
        <v>278.21741231699929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11.5</v>
      </c>
      <c r="BY31" s="12">
        <f>IF('Données projet'!$A$114&gt;35,BY30+BX31-CG30,IF(A31&lt;'Données projet'!$A$114,$BV$205^A31,IF(A31='Données projet'!$A$114,'Données projet'!$B$114,BY30+BX31-CG30)))</f>
        <v>120.49999999999996</v>
      </c>
      <c r="BZ31" s="13">
        <f>BY31*VLOOKUP('Données projet'!$B$12,Paramètres!$A$1:$I$89,3,0)*VLOOKUP('Données projet'!$B$12,Paramètres!$A$1:$I$89,5,0)</f>
        <v>93.989999999999966</v>
      </c>
      <c r="CA31" s="13">
        <f t="shared" si="39"/>
        <v>25.525074036970054</v>
      </c>
      <c r="CB31" s="20">
        <f t="shared" si="10"/>
        <v>208.15542061438944</v>
      </c>
      <c r="CC31" s="59">
        <f t="shared" si="11"/>
        <v>499.04430950327833</v>
      </c>
      <c r="CD31" s="59">
        <f ca="1">AVERAGE(OFFSET($CC$3,0,0,'Données projet'!$E$12+1,1))-AVERAGE(OFFSET($H$3,0,0,'Données projet'!$E$12+1,1))</f>
        <v>288.82868507674738</v>
      </c>
      <c r="CE31" s="59">
        <f t="shared" si="40"/>
        <v>283.48738729114024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3.3143657179318673</v>
      </c>
      <c r="CM31" s="21">
        <f>EXP(-LN(2)/2)*CM30+(1-EXP(-LN(2)/2))/(LN(2)/2)*CG31*CJ31*VLOOKUP('Données projet'!$B$12,Paramètres!$A$1:$I$89,3,0)*0.475*44/12</f>
        <v>6.5402148726651639</v>
      </c>
      <c r="CN31" s="22">
        <f t="shared" si="12"/>
        <v>9.8545805905970312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10.199999999999999</v>
      </c>
      <c r="CT31" s="12">
        <f>IF('Données projet'!$A$140&gt;35,CT30+CS31-DB30,IF(A31&lt;'Données projet'!$A$140,$CQ$205^A31,IF(A31='Données projet'!$A$140,'Données projet'!$B$140,CT30+CS31-DB30)))</f>
        <v>95.600000000000009</v>
      </c>
      <c r="CU31" s="17">
        <f>CT31*VLOOKUP('Données projet'!$B$13,Paramètres!$A$1:$I$89,3,0)*VLOOKUP('Données projet'!$B$13,Paramètres!$A$1:$I$89,5,0)</f>
        <v>82.024800000000013</v>
      </c>
      <c r="CV31" s="13">
        <f t="shared" si="41"/>
        <v>22.631535768177894</v>
      </c>
      <c r="CW31" s="20">
        <f t="shared" si="13"/>
        <v>182.27645146290988</v>
      </c>
      <c r="CX31" s="59">
        <f t="shared" si="14"/>
        <v>473.1653403517987</v>
      </c>
      <c r="CY31" s="59">
        <f ca="1">AVERAGE(OFFSET($CX$3,0,0,'Données projet'!$E$13+1,1))-AVERAGE(OFFSET($H$3,0,0,'Données projet'!$E$13+1,1))</f>
        <v>273.73158910361786</v>
      </c>
      <c r="CZ31" s="59">
        <f t="shared" si="42"/>
        <v>256.77417912163997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27.4</v>
      </c>
      <c r="DO31" s="12">
        <f>IF('Données projet'!$A$166&gt;35,DO30+DN31-DW30,IF(A31&lt;'Données projet'!$A$166,$DL$205^A31,IF(A31='Données projet'!$A$166,'Données projet'!$B$166,DO30+DN31-DW30)))</f>
        <v>505.19999999999993</v>
      </c>
      <c r="DP31" s="17">
        <f>DO31*VLOOKUP('Données projet'!$B$14,Paramètres!$A$1:$I$89,3,0)*VLOOKUP('Données projet'!$B$14,Paramètres!$A$1:$I$89,5,0)</f>
        <v>282.40679999999998</v>
      </c>
      <c r="DQ31" s="13">
        <f t="shared" si="43"/>
        <v>67.475381268028372</v>
      </c>
      <c r="DR31" s="20">
        <f t="shared" si="16"/>
        <v>609.37813237514945</v>
      </c>
      <c r="DS31" s="59">
        <f t="shared" si="17"/>
        <v>900.26702126403825</v>
      </c>
      <c r="DT31" s="59">
        <f ca="1">AVERAGE(OFFSET($DS$3,0,0,'Données projet'!$E$14+1,1))-AVERAGE(OFFSET($H$3,0,0,'Données projet'!$E$14+1,1))</f>
        <v>534.78683721545372</v>
      </c>
      <c r="DU31" s="59">
        <f t="shared" si="44"/>
        <v>710.59298755711075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8.3102408826278715</v>
      </c>
      <c r="EC31" s="21">
        <f>EXP(-LN(2)/2)*EC30+(1-EXP(-LN(2)/2))/(LN(2)/2)*DW31*DZ31*VLOOKUP('Données projet'!$B$14,Paramètres!$A$1:$I$89,3,0)*0.475*44/12</f>
        <v>6.4371376076667017</v>
      </c>
      <c r="ED31" s="22">
        <f t="shared" si="18"/>
        <v>14.747378490294572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12.2</v>
      </c>
      <c r="EJ31" s="12">
        <f>IF('Données projet'!$A$192&gt;35,EJ30+EI31-ER30,IF(A31&lt;'Données projet'!$A$192,$EG$205^A31,IF(A31='Données projet'!$A$192,'Données projet'!$B$192,EJ30+EI31-ER30)))</f>
        <v>121.60000000000001</v>
      </c>
      <c r="EK31" s="17">
        <f>EJ31*VLOOKUP('Données projet'!$B$15,Paramètres!$A$1:$I$89,3,0)*VLOOKUP('Données projet'!$B$15,Paramètres!$A$1:$I$89,5,0)</f>
        <v>106.22976000000003</v>
      </c>
      <c r="EL31" s="13">
        <f t="shared" si="45"/>
        <v>28.440891625171492</v>
      </c>
      <c r="EM31" s="20">
        <f t="shared" si="19"/>
        <v>234.55138491384039</v>
      </c>
      <c r="EN31" s="59">
        <f t="shared" si="20"/>
        <v>525.44027380272928</v>
      </c>
      <c r="EO31" s="59">
        <f ca="1">AVERAGE(OFFSET($EN$3,0,0,'Données projet'!$E$15+1,1))-AVERAGE(OFFSET($H$3,0,0,'Données projet'!$E$15+1,1))</f>
        <v>255.2813753128475</v>
      </c>
      <c r="EP31" s="59">
        <f t="shared" si="46"/>
        <v>317.03005098025352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1.0174169490953227</v>
      </c>
      <c r="EW31" s="21">
        <f>EXP(-LN(2)/25)*EW30+(1-EXP(-LN(2)/25))/(LN(2)/25)*Calculateur!ER31*Calculateur!ET31*VLOOKUP('Données projet'!$B$15,Paramètres!$A$1:$I$89,3,0)*0.475*44/12</f>
        <v>3.9584446165017906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4.9758615655971132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12.2</v>
      </c>
      <c r="N32" s="13">
        <f>IF('Données projet'!$A$36&gt;35,N31+M32-V31,IF(A32&lt;'Données projet'!$A$36,$K$205^A32,IF(A32='Données projet'!$A$36,'Données projet'!$B$36,N31+M32-V31)))</f>
        <v>133.80000000000001</v>
      </c>
      <c r="O32" s="13">
        <f>N32*VLOOKUP('Données projet'!$B$9,Paramètres!$A$1:$I$89,3,0)*VLOOKUP('Données projet'!$B$9,Paramètres!$A$1:$I$89,5,0)</f>
        <v>98.102160000000012</v>
      </c>
      <c r="P32" s="13">
        <f t="shared" si="33"/>
        <v>26.50936037444021</v>
      </c>
      <c r="Q32" s="20">
        <f t="shared" si="2"/>
        <v>217.0317313188167</v>
      </c>
      <c r="R32" s="59">
        <f t="shared" si="0"/>
        <v>509.14284242992784</v>
      </c>
      <c r="S32" s="59">
        <f ca="1">AVERAGE(OFFSET($R$3,0,0,'Données projet'!$E$9+1,1))-AVERAGE(OFFSET($H$3,0,0,'Données projet'!$E$9+1,1))</f>
        <v>193.60868637458515</v>
      </c>
      <c r="T32" s="59">
        <f t="shared" si="34"/>
        <v>272.97841038165217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162.79999999999993</v>
      </c>
      <c r="AJ32" s="13">
        <f>AI32*VLOOKUP('Données projet'!$B$10,Paramètres!$A$1:$I$89,3,0)*VLOOKUP('Données projet'!$B$10,Paramètres!$A$1:$I$89,5,0)</f>
        <v>129.52367999999996</v>
      </c>
      <c r="AK32" s="13">
        <f t="shared" si="35"/>
        <v>33.886272262901727</v>
      </c>
      <c r="AL32" s="20">
        <f t="shared" si="4"/>
        <v>284.60566685788712</v>
      </c>
      <c r="AM32" s="59">
        <f t="shared" si="5"/>
        <v>576.71677796899826</v>
      </c>
      <c r="AN32" s="59">
        <f ca="1">AVERAGE(OFFSET($AM$3,0,0,'Données projet'!$E$10+1,1))-AVERAGE(OFFSET($H$3,0,0,'Données projet'!$E$10+1,1))</f>
        <v>281.79835088425858</v>
      </c>
      <c r="AO32" s="59">
        <f t="shared" si="36"/>
        <v>345.4750813433123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111.80000000000003</v>
      </c>
      <c r="BE32" s="13">
        <f>BD32*VLOOKUP('Données projet'!$B$11,Paramètres!$A$1:$I$89,3,0)*VLOOKUP('Données projet'!$B$11,Paramètres!$A$1:$I$89,5,0)</f>
        <v>101.15664000000001</v>
      </c>
      <c r="BF32" s="13">
        <f t="shared" si="37"/>
        <v>27.237366379381644</v>
      </c>
      <c r="BG32" s="20">
        <f t="shared" si="7"/>
        <v>223.61956111075639</v>
      </c>
      <c r="BH32" s="59">
        <f t="shared" si="8"/>
        <v>515.73067222186751</v>
      </c>
      <c r="BI32" s="59">
        <f ca="1">AVERAGE(OFFSET($BH$3,0,0,'Données projet'!$E$11+1,1))-AVERAGE(OFFSET($H$3,0,0,'Données projet'!$E$11+1,1))</f>
        <v>343.6089004382095</v>
      </c>
      <c r="BJ32" s="59">
        <f t="shared" si="38"/>
        <v>278.21741231699929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11.5</v>
      </c>
      <c r="BY32" s="12">
        <f>IF('Données projet'!$A$114&gt;35,BY31+BX32-CG31,IF(A32&lt;'Données projet'!$A$114,$BV$205^A32,IF(A32='Données projet'!$A$114,'Données projet'!$B$114,BY31+BX32-CG31)))</f>
        <v>131.99999999999994</v>
      </c>
      <c r="BZ32" s="13">
        <f>BY32*VLOOKUP('Données projet'!$B$12,Paramètres!$A$1:$I$89,3,0)*VLOOKUP('Données projet'!$B$12,Paramètres!$A$1:$I$89,5,0)</f>
        <v>102.95999999999997</v>
      </c>
      <c r="CA32" s="13">
        <f t="shared" si="39"/>
        <v>27.665975080374633</v>
      </c>
      <c r="CB32" s="20">
        <f t="shared" si="10"/>
        <v>227.50690659831903</v>
      </c>
      <c r="CC32" s="59">
        <f t="shared" si="11"/>
        <v>519.61801770943021</v>
      </c>
      <c r="CD32" s="59">
        <f ca="1">AVERAGE(OFFSET($CC$3,0,0,'Données projet'!$E$12+1,1))-AVERAGE(OFFSET($H$3,0,0,'Données projet'!$E$12+1,1))</f>
        <v>288.82868507674738</v>
      </c>
      <c r="CE32" s="59">
        <f t="shared" si="40"/>
        <v>283.48738729114024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3.2237342130801023</v>
      </c>
      <c r="CM32" s="21">
        <f>EXP(-LN(2)/2)*CM31+(1-EXP(-LN(2)/2))/(LN(2)/2)*CG32*CJ32*VLOOKUP('Données projet'!$B$12,Paramètres!$A$1:$I$89,3,0)*0.475*44/12</f>
        <v>4.6246302868786504</v>
      </c>
      <c r="CN32" s="22">
        <f t="shared" si="12"/>
        <v>7.8483644999587527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10.199999999999999</v>
      </c>
      <c r="CT32" s="12">
        <f>IF('Données projet'!$A$140&gt;35,CT31+CS32-DB31,IF(A32&lt;'Données projet'!$A$140,$CQ$205^A32,IF(A32='Données projet'!$A$140,'Données projet'!$B$140,CT31+CS32-DB31)))</f>
        <v>105.80000000000001</v>
      </c>
      <c r="CU32" s="17">
        <f>CT32*VLOOKUP('Données projet'!$B$13,Paramètres!$A$1:$I$89,3,0)*VLOOKUP('Données projet'!$B$13,Paramètres!$A$1:$I$89,5,0)</f>
        <v>90.776400000000024</v>
      </c>
      <c r="CV32" s="13">
        <f t="shared" si="41"/>
        <v>24.752380266200475</v>
      </c>
      <c r="CW32" s="20">
        <f t="shared" si="13"/>
        <v>201.21262563029919</v>
      </c>
      <c r="CX32" s="59">
        <f t="shared" si="14"/>
        <v>493.32373674141036</v>
      </c>
      <c r="CY32" s="59">
        <f ca="1">AVERAGE(OFFSET($CX$3,0,0,'Données projet'!$E$13+1,1))-AVERAGE(OFFSET($H$3,0,0,'Données projet'!$E$13+1,1))</f>
        <v>273.73158910361786</v>
      </c>
      <c r="CZ32" s="59">
        <f t="shared" si="42"/>
        <v>256.77417912163997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27.4</v>
      </c>
      <c r="DO32" s="12">
        <f>IF('Données projet'!$A$166&gt;35,DO31+DN32-DW31,IF(A32&lt;'Données projet'!$A$166,$DL$205^A32,IF(A32='Données projet'!$A$166,'Données projet'!$B$166,DO31+DN32-DW31)))</f>
        <v>532.59999999999991</v>
      </c>
      <c r="DP32" s="17">
        <f>DO32*VLOOKUP('Données projet'!$B$14,Paramètres!$A$1:$I$89,3,0)*VLOOKUP('Données projet'!$B$14,Paramètres!$A$1:$I$89,5,0)</f>
        <v>297.72339999999991</v>
      </c>
      <c r="DQ32" s="13">
        <f t="shared" si="43"/>
        <v>70.698989284770079</v>
      </c>
      <c r="DR32" s="20">
        <f t="shared" si="16"/>
        <v>641.66899467097437</v>
      </c>
      <c r="DS32" s="59">
        <f t="shared" si="17"/>
        <v>933.78010578208546</v>
      </c>
      <c r="DT32" s="59">
        <f ca="1">AVERAGE(OFFSET($DS$3,0,0,'Données projet'!$E$14+1,1))-AVERAGE(OFFSET($H$3,0,0,'Données projet'!$E$14+1,1))</f>
        <v>534.78683721545372</v>
      </c>
      <c r="DU32" s="59">
        <f t="shared" si="44"/>
        <v>710.59298755711075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8.0829969086758382</v>
      </c>
      <c r="EC32" s="21">
        <f>EXP(-LN(2)/2)*EC31+(1-EXP(-LN(2)/2))/(LN(2)/2)*DW32*DZ32*VLOOKUP('Données projet'!$B$14,Paramètres!$A$1:$I$89,3,0)*0.475*44/12</f>
        <v>4.5517436538120748</v>
      </c>
      <c r="ED32" s="22">
        <f t="shared" si="18"/>
        <v>12.634740562487913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12.2</v>
      </c>
      <c r="EJ32" s="12">
        <f>IF('Données projet'!$A$192&gt;35,EJ31+EI32-ER31,IF(A32&lt;'Données projet'!$A$192,$EG$205^A32,IF(A32='Données projet'!$A$192,'Données projet'!$B$192,EJ31+EI32-ER31)))</f>
        <v>133.80000000000001</v>
      </c>
      <c r="EK32" s="17">
        <f>EJ32*VLOOKUP('Données projet'!$B$15,Paramètres!$A$1:$I$89,3,0)*VLOOKUP('Données projet'!$B$15,Paramètres!$A$1:$I$89,5,0)</f>
        <v>116.88768000000002</v>
      </c>
      <c r="EL32" s="13">
        <f t="shared" si="45"/>
        <v>30.947995316838725</v>
      </c>
      <c r="EM32" s="20">
        <f t="shared" si="19"/>
        <v>257.48046784349413</v>
      </c>
      <c r="EN32" s="59">
        <f t="shared" si="20"/>
        <v>549.59157895460521</v>
      </c>
      <c r="EO32" s="59">
        <f ca="1">AVERAGE(OFFSET($EN$3,0,0,'Données projet'!$E$15+1,1))-AVERAGE(OFFSET($H$3,0,0,'Données projet'!$E$15+1,1))</f>
        <v>255.2813753128475</v>
      </c>
      <c r="EP32" s="59">
        <f t="shared" si="46"/>
        <v>317.03005098025352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0.99746602328662681</v>
      </c>
      <c r="EW32" s="21">
        <f>EXP(-LN(2)/25)*EW31+(1-EXP(-LN(2)/25))/(LN(2)/25)*Calculateur!ER32*Calculateur!ET32*VLOOKUP('Données projet'!$B$15,Paramètres!$A$1:$I$89,3,0)*0.475*44/12</f>
        <v>3.8502007402979941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4.8476667635846207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146</v>
      </c>
      <c r="L33" s="12">
        <f>VLOOKUP(A33,'Données projet'!$A$35:$I$55,9,0)</f>
        <v>12.2</v>
      </c>
      <c r="M33" s="12">
        <f t="array" ref="M33">INDEX(L:L,MIN(IF(ISNUMBER(L33:L229),ROW(L33:L229),"")))</f>
        <v>12.2</v>
      </c>
      <c r="N33" s="13">
        <f>IF('Données projet'!$A$36&gt;35,N32+M33-V32,IF(A33&lt;'Données projet'!$A$36,$K$205^A33,IF(A33='Données projet'!$A$36,'Données projet'!$B$36,N32+M33-V32)))</f>
        <v>146</v>
      </c>
      <c r="O33" s="13">
        <f>N33*VLOOKUP('Données projet'!$B$9,Paramètres!$A$1:$I$89,3,0)*VLOOKUP('Données projet'!$B$9,Paramètres!$A$1:$I$89,5,0)</f>
        <v>107.04719999999999</v>
      </c>
      <c r="P33" s="13">
        <f t="shared" si="33"/>
        <v>28.634183951187907</v>
      </c>
      <c r="Q33" s="20">
        <f t="shared" si="2"/>
        <v>236.3117437149856</v>
      </c>
      <c r="R33" s="59">
        <f t="shared" si="0"/>
        <v>529.64507704831885</v>
      </c>
      <c r="S33" s="59">
        <f ca="1">AVERAGE(OFFSET($R$3,0,0,'Données projet'!$E$9+1,1))-AVERAGE(OFFSET($H$3,0,0,'Données projet'!$E$9+1,1))</f>
        <v>193.60868637458515</v>
      </c>
      <c r="T33" s="59">
        <f t="shared" si="34"/>
        <v>272.97841038165217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35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177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176.99999999999991</v>
      </c>
      <c r="AJ33" s="13">
        <f>AI33*VLOOKUP('Données projet'!$B$10,Paramètres!$A$1:$I$89,3,0)*VLOOKUP('Données projet'!$B$10,Paramètres!$A$1:$I$89,5,0)</f>
        <v>140.82119999999992</v>
      </c>
      <c r="AK33" s="13">
        <f t="shared" si="35"/>
        <v>36.485066799987997</v>
      </c>
      <c r="AL33" s="20">
        <f t="shared" si="4"/>
        <v>308.80841467664561</v>
      </c>
      <c r="AM33" s="59">
        <f t="shared" si="5"/>
        <v>602.14174800997898</v>
      </c>
      <c r="AN33" s="59">
        <f ca="1">AVERAGE(OFFSET($AM$3,0,0,'Données projet'!$E$10+1,1))-AVERAGE(OFFSET($H$3,0,0,'Données projet'!$E$10+1,1))</f>
        <v>281.79835088425858</v>
      </c>
      <c r="AO33" s="59">
        <f t="shared" si="36"/>
        <v>345.4750813433123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121.00000000000003</v>
      </c>
      <c r="BE33" s="13">
        <f>BD33*VLOOKUP('Données projet'!$B$11,Paramètres!$A$1:$I$89,3,0)*VLOOKUP('Données projet'!$B$11,Paramètres!$A$1:$I$89,5,0)</f>
        <v>109.48080000000002</v>
      </c>
      <c r="BF33" s="13">
        <f t="shared" si="37"/>
        <v>29.208623339903898</v>
      </c>
      <c r="BG33" s="20">
        <f t="shared" si="7"/>
        <v>241.55074565033269</v>
      </c>
      <c r="BH33" s="59">
        <f t="shared" si="8"/>
        <v>534.88407898366597</v>
      </c>
      <c r="BI33" s="59">
        <f ca="1">AVERAGE(OFFSET($BH$3,0,0,'Données projet'!$E$11+1,1))-AVERAGE(OFFSET($H$3,0,0,'Données projet'!$E$11+1,1))</f>
        <v>343.6089004382095</v>
      </c>
      <c r="BJ33" s="59">
        <f t="shared" si="38"/>
        <v>278.21741231699929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11.5</v>
      </c>
      <c r="BY33" s="12">
        <f>IF('Données projet'!$A$114&gt;35,BY32+BX33-CG32,IF(A33&lt;'Données projet'!$A$114,$BV$205^A33,IF(A33='Données projet'!$A$114,'Données projet'!$B$114,BY32+BX33-CG32)))</f>
        <v>143.49999999999994</v>
      </c>
      <c r="BZ33" s="13">
        <f>BY33*VLOOKUP('Données projet'!$B$12,Paramètres!$A$1:$I$89,3,0)*VLOOKUP('Données projet'!$B$12,Paramètres!$A$1:$I$89,5,0)</f>
        <v>111.92999999999996</v>
      </c>
      <c r="CA33" s="13">
        <f t="shared" si="39"/>
        <v>29.785246291563833</v>
      </c>
      <c r="CB33" s="20">
        <f t="shared" si="10"/>
        <v>246.82072062447358</v>
      </c>
      <c r="CC33" s="59">
        <f t="shared" si="11"/>
        <v>540.15405395780692</v>
      </c>
      <c r="CD33" s="59">
        <f ca="1">AVERAGE(OFFSET($CC$3,0,0,'Données projet'!$E$12+1,1))-AVERAGE(OFFSET($H$3,0,0,'Données projet'!$E$12+1,1))</f>
        <v>288.82868507674738</v>
      </c>
      <c r="CE33" s="59">
        <f t="shared" si="40"/>
        <v>283.48738729114024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3.1355810314946124</v>
      </c>
      <c r="CM33" s="21">
        <f>EXP(-LN(2)/2)*CM32+(1-EXP(-LN(2)/2))/(LN(2)/2)*CG33*CJ33*VLOOKUP('Données projet'!$B$12,Paramètres!$A$1:$I$89,3,0)*0.475*44/12</f>
        <v>3.2701074363325824</v>
      </c>
      <c r="CN33" s="22">
        <f t="shared" si="12"/>
        <v>6.4056884678271953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116</v>
      </c>
      <c r="CR33" s="12">
        <f>VLOOKUP(A33,'Données projet'!$A$139:$I$159,9,0)</f>
        <v>10.199999999999999</v>
      </c>
      <c r="CS33" s="12">
        <f t="array" ref="CS33">INDEX(CR:CR,MIN(IF(ISNUMBER(CR33:CR229),ROW(CR33:CR229),"")))</f>
        <v>10.199999999999999</v>
      </c>
      <c r="CT33" s="12">
        <f>IF('Données projet'!$A$140&gt;35,CT32+CS33-DB32,IF(A33&lt;'Données projet'!$A$140,$CQ$205^A33,IF(A33='Données projet'!$A$140,'Données projet'!$B$140,CT32+CS33-DB32)))</f>
        <v>116.00000000000001</v>
      </c>
      <c r="CU33" s="17">
        <f>CT33*VLOOKUP('Données projet'!$B$13,Paramètres!$A$1:$I$89,3,0)*VLOOKUP('Données projet'!$B$13,Paramètres!$A$1:$I$89,5,0)</f>
        <v>99.52800000000002</v>
      </c>
      <c r="CV33" s="13">
        <f t="shared" si="41"/>
        <v>26.849519112903323</v>
      </c>
      <c r="CW33" s="20">
        <f t="shared" si="13"/>
        <v>220.10751245497332</v>
      </c>
      <c r="CX33" s="59">
        <f t="shared" si="14"/>
        <v>513.44084578830666</v>
      </c>
      <c r="CY33" s="59">
        <f ca="1">AVERAGE(OFFSET($CX$3,0,0,'Données projet'!$E$13+1,1))-AVERAGE(OFFSET($H$3,0,0,'Données projet'!$E$13+1,1))</f>
        <v>273.73158910361786</v>
      </c>
      <c r="CZ33" s="59">
        <f t="shared" si="42"/>
        <v>256.77417912163997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560</v>
      </c>
      <c r="DM33" s="12">
        <f>VLOOKUP(A33,'Données projet'!$A$165:$I$185,9,0)</f>
        <v>27.4</v>
      </c>
      <c r="DN33" s="12">
        <f t="array" ref="DN33">INDEX(DM:DM,MIN(IF(ISNUMBER(DM33:DM229),ROW(DM33:DM229),"")))</f>
        <v>27.4</v>
      </c>
      <c r="DO33" s="12">
        <f>IF('Données projet'!$A$166&gt;35,DO32+DN33-DW32,IF(A33&lt;'Données projet'!$A$166,$DL$205^A33,IF(A33='Données projet'!$A$166,'Données projet'!$B$166,DO32+DN33-DW32)))</f>
        <v>559.99999999999989</v>
      </c>
      <c r="DP33" s="17">
        <f>DO33*VLOOKUP('Données projet'!$B$14,Paramètres!$A$1:$I$89,3,0)*VLOOKUP('Données projet'!$B$14,Paramètres!$A$1:$I$89,5,0)</f>
        <v>313.03999999999996</v>
      </c>
      <c r="DQ33" s="13">
        <f t="shared" si="43"/>
        <v>73.903342138054057</v>
      </c>
      <c r="DR33" s="20">
        <f t="shared" si="16"/>
        <v>673.92632089044412</v>
      </c>
      <c r="DS33" s="59">
        <f t="shared" si="17"/>
        <v>967.25965422377749</v>
      </c>
      <c r="DT33" s="59">
        <f ca="1">AVERAGE(OFFSET($DS$3,0,0,'Données projet'!$E$14+1,1))-AVERAGE(OFFSET($H$3,0,0,'Données projet'!$E$14+1,1))</f>
        <v>534.78683721545372</v>
      </c>
      <c r="DU33" s="59">
        <f t="shared" si="44"/>
        <v>710.59298755711075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67</v>
      </c>
      <c r="DX33" s="16">
        <f>IF(ISNA(VLOOKUP(A33,'Données projet'!$A$165:$I$185,5,0)),0%,VLOOKUP(A33,'Données projet'!$A$165:$I$185,5,0)*VLOOKUP('Données projet'!$B$14,Paramètres!$A$1:$I$89,7,0))</f>
        <v>0.11000000000000001</v>
      </c>
      <c r="DY33" s="16">
        <f>IF(ISNA(VLOOKUP(A33,'Données projet'!$A$165:$I$185,6,0)),0%,VLOOKUP(A33,'Données projet'!$A$165:$I$185,6,0)*VLOOKUP('Données projet'!$B$14,Paramètres!$A$1:$I$89,7,0))</f>
        <v>0.33</v>
      </c>
      <c r="DZ33" s="16">
        <f>IF(ISNA(VLOOKUP(A33,'Données projet'!$A$165:$I$185,7,0)),0%,VLOOKUP(A33,'Données projet'!$A$165:$I$185,7,0))</f>
        <v>0.2</v>
      </c>
      <c r="EA33" s="21">
        <f>EXP(-LN(2)/35)*EA32+(1-EXP(-LN(2)/35))/(LN(2)/35)*DW33*DX33*VLOOKUP('Données projet'!$B$14,Paramètres!$A$1:$I$89,3,0)*0.475*44/12</f>
        <v>5.465220040453481</v>
      </c>
      <c r="EB33" s="21">
        <f>EXP(-LN(2)/25)*EB32+(1-EXP(-LN(2)/25))/(LN(2)/25)*Calculateur!DW33*Calculateur!DY33*VLOOKUP('Données projet'!$B$14,Paramètres!$A$1:$I$89,3,0)*0.475*44/12</f>
        <v>24.193071093368133</v>
      </c>
      <c r="EC33" s="21">
        <f>EXP(-LN(2)/2)*EC32+(1-EXP(-LN(2)/2))/(LN(2)/2)*DW33*DZ33*VLOOKUP('Données projet'!$B$14,Paramètres!$A$1:$I$89,3,0)*0.475*44/12</f>
        <v>11.699668051685096</v>
      </c>
      <c r="ED33" s="22">
        <f t="shared" si="18"/>
        <v>41.357959185506708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146</v>
      </c>
      <c r="EH33" s="12">
        <f>VLOOKUP(A33,'Données projet'!$A$191:$I$211,9,0)</f>
        <v>12.2</v>
      </c>
      <c r="EI33" s="12">
        <f t="array" ref="EI33">INDEX(EH:EH,MIN(IF(ISNUMBER(EH33:EH229),ROW(EH33:EH229),"")))</f>
        <v>12.2</v>
      </c>
      <c r="EJ33" s="12">
        <f>IF('Données projet'!$A$192&gt;35,EJ32+EI33-ER32,IF(A33&lt;'Données projet'!$A$192,$EG$205^A33,IF(A33='Données projet'!$A$192,'Données projet'!$B$192,EJ32+EI33-ER32)))</f>
        <v>146</v>
      </c>
      <c r="EK33" s="17">
        <f>EJ33*VLOOKUP('Données projet'!$B$15,Paramètres!$A$1:$I$89,3,0)*VLOOKUP('Données projet'!$B$15,Paramètres!$A$1:$I$89,5,0)</f>
        <v>127.54560000000001</v>
      </c>
      <c r="EL33" s="13">
        <f t="shared" si="45"/>
        <v>33.428591950384806</v>
      </c>
      <c r="EM33" s="20">
        <f t="shared" si="19"/>
        <v>280.36338431358689</v>
      </c>
      <c r="EN33" s="59">
        <f t="shared" si="20"/>
        <v>573.69671764692021</v>
      </c>
      <c r="EO33" s="59">
        <f ca="1">AVERAGE(OFFSET($EN$3,0,0,'Données projet'!$E$15+1,1))-AVERAGE(OFFSET($H$3,0,0,'Données projet'!$E$15+1,1))</f>
        <v>255.2813753128475</v>
      </c>
      <c r="EP33" s="59">
        <f t="shared" si="46"/>
        <v>317.03005098025352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4.3000000000000003E-2</v>
      </c>
      <c r="ET33" s="16">
        <f>IF(ISNA(VLOOKUP(A33,'Données projet'!$A$191:$I$211,6,0)),0%,VLOOKUP(A33,'Données projet'!$A$191:$I$211,6,0)*VLOOKUP('Données projet'!$B$15,Paramètres!$A$1:$I$89,7,0))</f>
        <v>0.215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2.4313434029219545</v>
      </c>
      <c r="EW33" s="21">
        <f>EXP(-LN(2)/25)*EW32+(1-EXP(-LN(2)/25))/(LN(2)/25)*Calculateur!ER33*Calculateur!ET33*VLOOKUP('Données projet'!$B$15,Paramètres!$A$1:$I$89,3,0)*0.475*44/12</f>
        <v>10.983488520436484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13.414831923358438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</v>
      </c>
      <c r="N34" s="13">
        <f>IF('Données projet'!$A$36&gt;35,N33+M34-V33,IF(A34&lt;'Données projet'!$A$36,$K$205^A34,IF(A34='Données projet'!$A$36,'Données projet'!$B$36,N33+M34-V33)))</f>
        <v>123.80000000000001</v>
      </c>
      <c r="O34" s="13">
        <f>N34*VLOOKUP('Données projet'!$B$9,Paramètres!$A$1:$I$89,3,0)*VLOOKUP('Données projet'!$B$9,Paramètres!$A$1:$I$89,5,0)</f>
        <v>90.770160000000004</v>
      </c>
      <c r="P34" s="13">
        <f t="shared" si="33"/>
        <v>24.75087682638571</v>
      </c>
      <c r="Q34" s="20">
        <f t="shared" si="2"/>
        <v>201.19913913928846</v>
      </c>
      <c r="R34" s="59">
        <f t="shared" si="0"/>
        <v>494.53247247262175</v>
      </c>
      <c r="S34" s="59">
        <f ca="1">AVERAGE(OFFSET($R$3,0,0,'Données projet'!$E$9+1,1))-AVERAGE(OFFSET($H$3,0,0,'Données projet'!$E$9+1,1))</f>
        <v>193.60868637458515</v>
      </c>
      <c r="T34" s="59">
        <f t="shared" si="34"/>
        <v>272.97841038165217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154.79999999999993</v>
      </c>
      <c r="AJ34" s="13">
        <f>AI34*VLOOKUP('Données projet'!$B$10,Paramètres!$A$1:$I$89,3,0)*VLOOKUP('Données projet'!$B$10,Paramètres!$A$1:$I$89,5,0)</f>
        <v>123.15887999999995</v>
      </c>
      <c r="AK34" s="13">
        <f t="shared" si="35"/>
        <v>32.410638331814873</v>
      </c>
      <c r="AL34" s="20">
        <f t="shared" si="4"/>
        <v>270.95024442791083</v>
      </c>
      <c r="AM34" s="59">
        <f t="shared" si="5"/>
        <v>564.28357776124415</v>
      </c>
      <c r="AN34" s="59">
        <f ca="1">AVERAGE(OFFSET($AM$3,0,0,'Données projet'!$E$10+1,1))-AVERAGE(OFFSET($H$3,0,0,'Données projet'!$E$10+1,1))</f>
        <v>281.79835088425858</v>
      </c>
      <c r="AO34" s="59">
        <f t="shared" si="36"/>
        <v>345.4750813433123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103.80000000000004</v>
      </c>
      <c r="BE34" s="13">
        <f>BD34*VLOOKUP('Données projet'!$B$11,Paramètres!$A$1:$I$89,3,0)*VLOOKUP('Données projet'!$B$11,Paramètres!$A$1:$I$89,5,0)</f>
        <v>93.91824000000004</v>
      </c>
      <c r="BF34" s="13">
        <f t="shared" si="37"/>
        <v>25.507853654186022</v>
      </c>
      <c r="BG34" s="20">
        <f t="shared" si="7"/>
        <v>208.00044644770739</v>
      </c>
      <c r="BH34" s="59">
        <f t="shared" si="8"/>
        <v>501.33377978104068</v>
      </c>
      <c r="BI34" s="59">
        <f ca="1">AVERAGE(OFFSET($BH$3,0,0,'Données projet'!$E$11+1,1))-AVERAGE(OFFSET($H$3,0,0,'Données projet'!$E$11+1,1))</f>
        <v>343.6089004382095</v>
      </c>
      <c r="BJ34" s="59">
        <f t="shared" si="38"/>
        <v>278.21741231699929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155</v>
      </c>
      <c r="BW34" s="12">
        <f>VLOOKUP(A34,'Données projet'!$A$113:$I$133,9,0)</f>
        <v>11.5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154.99999999999994</v>
      </c>
      <c r="BZ34" s="13">
        <f>BY34*VLOOKUP('Données projet'!$B$12,Paramètres!$A$1:$I$89,3,0)*VLOOKUP('Données projet'!$B$12,Paramètres!$A$1:$I$89,5,0)</f>
        <v>120.89999999999996</v>
      </c>
      <c r="CA34" s="13">
        <f t="shared" si="39"/>
        <v>31.884818143351602</v>
      </c>
      <c r="CB34" s="20">
        <f t="shared" si="10"/>
        <v>266.10022493300397</v>
      </c>
      <c r="CC34" s="59">
        <f t="shared" si="11"/>
        <v>559.43355826633729</v>
      </c>
      <c r="CD34" s="59">
        <f ca="1">AVERAGE(OFFSET($CC$3,0,0,'Données projet'!$E$12+1,1))-AVERAGE(OFFSET($H$3,0,0,'Données projet'!$E$12+1,1))</f>
        <v>288.82868507674738</v>
      </c>
      <c r="CE34" s="59">
        <f t="shared" si="40"/>
        <v>283.48738729114024</v>
      </c>
      <c r="CF34" s="15">
        <f>IF(ISNA(VLOOKUP(A34,'Données projet'!$A$113:$I$133,3,0)),0,VLOOKUP(A34,'Données projet'!$A$113:$I$133,3,0))</f>
        <v>4</v>
      </c>
      <c r="CG34" s="15">
        <f>IF(ISNA(VLOOKUP(A34,'Données projet'!$A$113:$I$133,4,0)),0,VLOOKUP(A34,'Données projet'!$A$113:$I$133,4,0))</f>
        <v>36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3.0498384032953521</v>
      </c>
      <c r="CM34" s="21">
        <f>EXP(-LN(2)/2)*CM33+(1-EXP(-LN(2)/2))/(LN(2)/2)*CG34*CJ34*VLOOKUP('Données projet'!$B$12,Paramètres!$A$1:$I$89,3,0)*0.475*44/12</f>
        <v>2.3123151434393252</v>
      </c>
      <c r="CN34" s="22">
        <f t="shared" si="12"/>
        <v>5.3621535467346773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98.200000000000017</v>
      </c>
      <c r="CU34" s="17">
        <f>CT34*VLOOKUP('Données projet'!$B$13,Paramètres!$A$1:$I$89,3,0)*VLOOKUP('Données projet'!$B$13,Paramètres!$A$1:$I$89,5,0)</f>
        <v>84.255600000000015</v>
      </c>
      <c r="CV34" s="13">
        <f t="shared" si="41"/>
        <v>23.174541098743855</v>
      </c>
      <c r="CW34" s="20">
        <f t="shared" si="13"/>
        <v>187.10749574697891</v>
      </c>
      <c r="CX34" s="59">
        <f t="shared" si="14"/>
        <v>480.44082908031226</v>
      </c>
      <c r="CY34" s="59">
        <f ca="1">AVERAGE(OFFSET($CX$3,0,0,'Données projet'!$E$13+1,1))-AVERAGE(OFFSET($H$3,0,0,'Données projet'!$E$13+1,1))</f>
        <v>273.73158910361786</v>
      </c>
      <c r="CZ34" s="59">
        <f t="shared" si="42"/>
        <v>256.77417912163997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24.6</v>
      </c>
      <c r="DO34" s="12">
        <f>IF('Données projet'!$A$166&gt;35,DO33+DN34-DW33,IF(A34&lt;'Données projet'!$A$166,$DL$205^A34,IF(A34='Données projet'!$A$166,'Données projet'!$B$166,DO33+DN34-DW33)))</f>
        <v>517.59999999999991</v>
      </c>
      <c r="DP34" s="17">
        <f>DO34*VLOOKUP('Données projet'!$B$14,Paramètres!$A$1:$I$89,3,0)*VLOOKUP('Données projet'!$B$14,Paramètres!$A$1:$I$89,5,0)</f>
        <v>289.33839999999998</v>
      </c>
      <c r="DQ34" s="13">
        <f t="shared" si="43"/>
        <v>68.936697354141856</v>
      </c>
      <c r="DR34" s="20">
        <f t="shared" si="16"/>
        <v>623.99579455846367</v>
      </c>
      <c r="DS34" s="59">
        <f t="shared" si="17"/>
        <v>917.32912789179704</v>
      </c>
      <c r="DT34" s="59">
        <f ca="1">AVERAGE(OFFSET($DS$3,0,0,'Données projet'!$E$14+1,1))-AVERAGE(OFFSET($H$3,0,0,'Données projet'!$E$14+1,1))</f>
        <v>534.78683721545372</v>
      </c>
      <c r="DU34" s="59">
        <f t="shared" si="44"/>
        <v>710.59298755711075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5.3580504089152612</v>
      </c>
      <c r="EB34" s="21">
        <f>EXP(-LN(2)/25)*EB33+(1-EXP(-LN(2)/25))/(LN(2)/25)*Calculateur!DW34*Calculateur!DY34*VLOOKUP('Données projet'!$B$14,Paramètres!$A$1:$I$89,3,0)*0.475*44/12</f>
        <v>23.531510292061665</v>
      </c>
      <c r="EC34" s="21">
        <f>EXP(-LN(2)/2)*EC33+(1-EXP(-LN(2)/2))/(LN(2)/2)*DW34*DZ34*VLOOKUP('Données projet'!$B$14,Paramètres!$A$1:$I$89,3,0)*0.475*44/12</f>
        <v>8.2729146169781345</v>
      </c>
      <c r="ED34" s="22">
        <f t="shared" si="18"/>
        <v>37.162475317955057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123.80000000000001</v>
      </c>
      <c r="EK34" s="17">
        <f>EJ34*VLOOKUP('Données projet'!$B$15,Paramètres!$A$1:$I$89,3,0)*VLOOKUP('Données projet'!$B$15,Paramètres!$A$1:$I$89,5,0)</f>
        <v>108.15168000000003</v>
      </c>
      <c r="EL34" s="13">
        <f t="shared" si="45"/>
        <v>28.895077410060392</v>
      </c>
      <c r="EM34" s="20">
        <f t="shared" si="19"/>
        <v>238.68976915585526</v>
      </c>
      <c r="EN34" s="59">
        <f t="shared" si="20"/>
        <v>532.02310248918855</v>
      </c>
      <c r="EO34" s="59">
        <f ca="1">AVERAGE(OFFSET($EN$3,0,0,'Données projet'!$E$15+1,1))-AVERAGE(OFFSET($H$3,0,0,'Données projet'!$E$15+1,1))</f>
        <v>255.2813753128475</v>
      </c>
      <c r="EP34" s="59">
        <f t="shared" si="46"/>
        <v>317.03005098025352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2.3836662417636991</v>
      </c>
      <c r="EW34" s="21">
        <f>EXP(-LN(2)/25)*EW33+(1-EXP(-LN(2)/25))/(LN(2)/25)*Calculateur!ER34*Calculateur!ET34*VLOOKUP('Données projet'!$B$15,Paramètres!$A$1:$I$89,3,0)*0.475*44/12</f>
        <v>10.683144449248591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13.066810691012289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</v>
      </c>
      <c r="N35" s="13">
        <f>IF('Données projet'!$A$36&gt;35,N34+M35-V34,IF(A35&lt;'Données projet'!$A$36,$K$205^A35,IF(A35='Données projet'!$A$36,'Données projet'!$B$36,N34+M35-V34)))</f>
        <v>136.60000000000002</v>
      </c>
      <c r="O35" s="13">
        <f>N35*VLOOKUP('Données projet'!$B$9,Paramètres!$A$1:$I$89,3,0)*VLOOKUP('Données projet'!$B$9,Paramètres!$A$1:$I$89,5,0)</f>
        <v>100.15512000000003</v>
      </c>
      <c r="P35" s="13">
        <f t="shared" si="33"/>
        <v>26.998949414913174</v>
      </c>
      <c r="Q35" s="20">
        <f t="shared" ref="Q35:Q66" si="53">(O35+P35)*0.475*44/12</f>
        <v>221.46000423097382</v>
      </c>
      <c r="R35" s="59">
        <f t="shared" si="0"/>
        <v>514.79333756430719</v>
      </c>
      <c r="S35" s="59">
        <f ca="1">AVERAGE(OFFSET($R$3,0,0,'Données projet'!$E$9+1,1))-AVERAGE(OFFSET($H$3,0,0,'Données projet'!$E$9+1,1))</f>
        <v>193.60868637458515</v>
      </c>
      <c r="T35" s="59">
        <f t="shared" si="34"/>
        <v>272.97841038165217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167.59999999999994</v>
      </c>
      <c r="AJ35" s="13">
        <f>AI35*VLOOKUP('Données projet'!$B$10,Paramètres!$A$1:$I$89,3,0)*VLOOKUP('Données projet'!$B$10,Paramètres!$A$1:$I$89,5,0)</f>
        <v>133.34255999999996</v>
      </c>
      <c r="AK35" s="13">
        <f t="shared" si="35"/>
        <v>34.767581918978188</v>
      </c>
      <c r="AL35" s="20">
        <f t="shared" si="4"/>
        <v>292.7918305088869</v>
      </c>
      <c r="AM35" s="59">
        <f t="shared" si="5"/>
        <v>586.12516384222022</v>
      </c>
      <c r="AN35" s="59">
        <f ca="1">AVERAGE(OFFSET($AM$3,0,0,'Données projet'!$E$10+1,1))-AVERAGE(OFFSET($H$3,0,0,'Données projet'!$E$10+1,1))</f>
        <v>281.79835088425858</v>
      </c>
      <c r="AO35" s="59">
        <f t="shared" si="36"/>
        <v>345.4750813433123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114.60000000000004</v>
      </c>
      <c r="BE35" s="13">
        <f>BD35*VLOOKUP('Données projet'!$B$11,Paramètres!$A$1:$I$89,3,0)*VLOOKUP('Données projet'!$B$11,Paramètres!$A$1:$I$89,5,0)</f>
        <v>103.69008000000004</v>
      </c>
      <c r="BF35" s="13">
        <f t="shared" si="37"/>
        <v>27.83924565319537</v>
      </c>
      <c r="BG35" s="20">
        <f t="shared" si="7"/>
        <v>229.08024217931529</v>
      </c>
      <c r="BH35" s="59">
        <f t="shared" si="8"/>
        <v>522.41357551264855</v>
      </c>
      <c r="BI35" s="59">
        <f ca="1">AVERAGE(OFFSET($BH$3,0,0,'Données projet'!$E$11+1,1))-AVERAGE(OFFSET($H$3,0,0,'Données projet'!$E$11+1,1))</f>
        <v>343.6089004382095</v>
      </c>
      <c r="BJ35" s="59">
        <f t="shared" si="38"/>
        <v>278.21741231699929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130.49999999999994</v>
      </c>
      <c r="BZ35" s="13">
        <f>BY35*VLOOKUP('Données projet'!$B$12,Paramètres!$A$1:$I$89,3,0)*VLOOKUP('Données projet'!$B$12,Paramètres!$A$1:$I$89,5,0)</f>
        <v>101.78999999999996</v>
      </c>
      <c r="CA35" s="13">
        <f t="shared" si="39"/>
        <v>27.38799903683508</v>
      </c>
      <c r="CB35" s="20">
        <f t="shared" si="10"/>
        <v>224.98501498915437</v>
      </c>
      <c r="CC35" s="59">
        <f t="shared" si="11"/>
        <v>518.31834832248774</v>
      </c>
      <c r="CD35" s="59">
        <f ca="1">AVERAGE(OFFSET($CC$3,0,0,'Données projet'!$E$12+1,1))-AVERAGE(OFFSET($H$3,0,0,'Données projet'!$E$12+1,1))</f>
        <v>288.82868507674738</v>
      </c>
      <c r="CE35" s="59">
        <f t="shared" si="40"/>
        <v>283.48738729114024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2.9664404117732097</v>
      </c>
      <c r="CM35" s="21">
        <f>EXP(-LN(2)/2)*CM34+(1-EXP(-LN(2)/2))/(LN(2)/2)*CG35*CJ35*VLOOKUP('Données projet'!$B$12,Paramètres!$A$1:$I$89,3,0)*0.475*44/12</f>
        <v>1.6350537181662912</v>
      </c>
      <c r="CN35" s="22">
        <f t="shared" si="12"/>
        <v>4.6014941299395007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108.40000000000002</v>
      </c>
      <c r="CU35" s="17">
        <f>CT35*VLOOKUP('Données projet'!$B$13,Paramètres!$A$1:$I$89,3,0)*VLOOKUP('Données projet'!$B$13,Paramètres!$A$1:$I$89,5,0)</f>
        <v>93.007200000000026</v>
      </c>
      <c r="CV35" s="13">
        <f t="shared" si="41"/>
        <v>25.289096064617418</v>
      </c>
      <c r="CW35" s="20">
        <f t="shared" si="13"/>
        <v>206.03271564587536</v>
      </c>
      <c r="CX35" s="59">
        <f t="shared" si="14"/>
        <v>499.3660489792087</v>
      </c>
      <c r="CY35" s="59">
        <f ca="1">AVERAGE(OFFSET($CX$3,0,0,'Données projet'!$E$13+1,1))-AVERAGE(OFFSET($H$3,0,0,'Données projet'!$E$13+1,1))</f>
        <v>273.73158910361786</v>
      </c>
      <c r="CZ35" s="59">
        <f t="shared" si="42"/>
        <v>256.77417912163997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24.6</v>
      </c>
      <c r="DO35" s="12">
        <f>IF('Données projet'!$A$166&gt;35,DO34+DN35-DW34,IF(A35&lt;'Données projet'!$A$166,$DL$205^A35,IF(A35='Données projet'!$A$166,'Données projet'!$B$166,DO34+DN35-DW34)))</f>
        <v>542.19999999999993</v>
      </c>
      <c r="DP35" s="17">
        <f>DO35*VLOOKUP('Données projet'!$B$14,Paramètres!$A$1:$I$89,3,0)*VLOOKUP('Données projet'!$B$14,Paramètres!$A$1:$I$89,5,0)</f>
        <v>303.08979999999997</v>
      </c>
      <c r="DQ35" s="13">
        <f t="shared" si="43"/>
        <v>71.823817446744386</v>
      </c>
      <c r="DR35" s="20">
        <f t="shared" si="16"/>
        <v>652.97455038641306</v>
      </c>
      <c r="DS35" s="59">
        <f t="shared" si="17"/>
        <v>946.30788371974631</v>
      </c>
      <c r="DT35" s="59">
        <f ca="1">AVERAGE(OFFSET($DS$3,0,0,'Données projet'!$E$14+1,1))-AVERAGE(OFFSET($H$3,0,0,'Données projet'!$E$14+1,1))</f>
        <v>534.78683721545372</v>
      </c>
      <c r="DU35" s="59">
        <f t="shared" si="44"/>
        <v>710.59298755711075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5.2529823084844853</v>
      </c>
      <c r="EB35" s="21">
        <f>EXP(-LN(2)/25)*EB34+(1-EXP(-LN(2)/25))/(LN(2)/25)*Calculateur!DW35*Calculateur!DY35*VLOOKUP('Données projet'!$B$14,Paramètres!$A$1:$I$89,3,0)*0.475*44/12</f>
        <v>22.888039905656893</v>
      </c>
      <c r="EC35" s="21">
        <f>EXP(-LN(2)/2)*EC34+(1-EXP(-LN(2)/2))/(LN(2)/2)*DW35*DZ35*VLOOKUP('Données projet'!$B$14,Paramètres!$A$1:$I$89,3,0)*0.475*44/12</f>
        <v>5.849834025842549</v>
      </c>
      <c r="ED35" s="22">
        <f t="shared" si="18"/>
        <v>33.990856239983927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136.60000000000002</v>
      </c>
      <c r="EK35" s="17">
        <f>EJ35*VLOOKUP('Données projet'!$B$15,Paramètres!$A$1:$I$89,3,0)*VLOOKUP('Données projet'!$B$15,Paramètres!$A$1:$I$89,5,0)</f>
        <v>119.33376000000004</v>
      </c>
      <c r="EL35" s="13">
        <f t="shared" si="45"/>
        <v>31.519559440518702</v>
      </c>
      <c r="EM35" s="20">
        <f t="shared" si="19"/>
        <v>262.7361980255701</v>
      </c>
      <c r="EN35" s="59">
        <f t="shared" si="20"/>
        <v>556.06953135890342</v>
      </c>
      <c r="EO35" s="59">
        <f ca="1">AVERAGE(OFFSET($EN$3,0,0,'Données projet'!$E$15+1,1))-AVERAGE(OFFSET($H$3,0,0,'Données projet'!$E$15+1,1))</f>
        <v>255.2813753128475</v>
      </c>
      <c r="EP35" s="59">
        <f t="shared" si="46"/>
        <v>317.03005098025352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2.3369240006555603</v>
      </c>
      <c r="EW35" s="21">
        <f>EXP(-LN(2)/25)*EW34+(1-EXP(-LN(2)/25))/(LN(2)/25)*Calculateur!ER35*Calculateur!ET35*VLOOKUP('Données projet'!$B$15,Paramètres!$A$1:$I$89,3,0)*0.475*44/12</f>
        <v>10.391013302481738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12.727937303137299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</v>
      </c>
      <c r="N36" s="13">
        <f>IF('Données projet'!$A$36&gt;35,N35+M36-V35,IF(A36&lt;'Données projet'!$A$36,$K$205^A36,IF(A36='Données projet'!$A$36,'Données projet'!$B$36,N35+M36-V35)))</f>
        <v>149.40000000000003</v>
      </c>
      <c r="O36" s="13">
        <f>N36*VLOOKUP('Données projet'!$B$9,Paramètres!$A$1:$I$89,3,0)*VLOOKUP('Données projet'!$B$9,Paramètres!$A$1:$I$89,5,0)</f>
        <v>109.54008000000003</v>
      </c>
      <c r="P36" s="13">
        <f t="shared" si="33"/>
        <v>29.222597423750106</v>
      </c>
      <c r="Q36" s="20">
        <f t="shared" si="53"/>
        <v>241.67832984636482</v>
      </c>
      <c r="R36" s="59">
        <f t="shared" si="0"/>
        <v>535.01166317969819</v>
      </c>
      <c r="S36" s="59">
        <f ca="1">AVERAGE(OFFSET($R$3,0,0,'Données projet'!$E$9+1,1))-AVERAGE(OFFSET($H$3,0,0,'Données projet'!$E$9+1,1))</f>
        <v>193.60868637458515</v>
      </c>
      <c r="T36" s="59">
        <f t="shared" si="34"/>
        <v>272.97841038165217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180.39999999999995</v>
      </c>
      <c r="AJ36" s="13">
        <f>AI36*VLOOKUP('Données projet'!$B$10,Paramètres!$A$1:$I$89,3,0)*VLOOKUP('Données projet'!$B$10,Paramètres!$A$1:$I$89,5,0)</f>
        <v>143.52623999999997</v>
      </c>
      <c r="AK36" s="13">
        <f t="shared" si="35"/>
        <v>37.103644337236275</v>
      </c>
      <c r="AL36" s="20">
        <f t="shared" si="4"/>
        <v>314.59704855401981</v>
      </c>
      <c r="AM36" s="59">
        <f t="shared" si="5"/>
        <v>607.93038188735318</v>
      </c>
      <c r="AN36" s="59">
        <f ca="1">AVERAGE(OFFSET($AM$3,0,0,'Données projet'!$E$10+1,1))-AVERAGE(OFFSET($H$3,0,0,'Données projet'!$E$10+1,1))</f>
        <v>281.79835088425858</v>
      </c>
      <c r="AO36" s="59">
        <f t="shared" si="36"/>
        <v>345.4750813433123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125.40000000000003</v>
      </c>
      <c r="BE36" s="13">
        <f>BD36*VLOOKUP('Données projet'!$B$11,Paramètres!$A$1:$I$89,3,0)*VLOOKUP('Données projet'!$B$11,Paramètres!$A$1:$I$89,5,0)</f>
        <v>113.46192000000002</v>
      </c>
      <c r="BF36" s="13">
        <f t="shared" si="37"/>
        <v>30.145163126535493</v>
      </c>
      <c r="BG36" s="20">
        <f t="shared" si="7"/>
        <v>250.11566977871598</v>
      </c>
      <c r="BH36" s="59">
        <f t="shared" si="8"/>
        <v>543.44900311204924</v>
      </c>
      <c r="BI36" s="59">
        <f ca="1">AVERAGE(OFFSET($BH$3,0,0,'Données projet'!$E$11+1,1))-AVERAGE(OFFSET($H$3,0,0,'Données projet'!$E$11+1,1))</f>
        <v>343.6089004382095</v>
      </c>
      <c r="BJ36" s="59">
        <f t="shared" si="38"/>
        <v>278.21741231699929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141.99999999999994</v>
      </c>
      <c r="BZ36" s="13">
        <f>BY36*VLOOKUP('Données projet'!$B$12,Paramètres!$A$1:$I$89,3,0)*VLOOKUP('Données projet'!$B$12,Paramètres!$A$1:$I$89,5,0)</f>
        <v>110.75999999999996</v>
      </c>
      <c r="CA36" s="13">
        <f t="shared" si="39"/>
        <v>29.509974682362923</v>
      </c>
      <c r="CB36" s="20">
        <f t="shared" si="10"/>
        <v>244.30353923844871</v>
      </c>
      <c r="CC36" s="59">
        <f t="shared" si="11"/>
        <v>537.63687257178208</v>
      </c>
      <c r="CD36" s="59">
        <f ca="1">AVERAGE(OFFSET($CC$3,0,0,'Données projet'!$E$12+1,1))-AVERAGE(OFFSET($H$3,0,0,'Données projet'!$E$12+1,1))</f>
        <v>288.82868507674738</v>
      </c>
      <c r="CE36" s="59">
        <f t="shared" si="40"/>
        <v>283.48738729114024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2.88532294271495</v>
      </c>
      <c r="CM36" s="21">
        <f>EXP(-LN(2)/2)*CM35+(1-EXP(-LN(2)/2))/(LN(2)/2)*CG36*CJ36*VLOOKUP('Données projet'!$B$12,Paramètres!$A$1:$I$89,3,0)*0.475*44/12</f>
        <v>1.1561575717196626</v>
      </c>
      <c r="CN36" s="22">
        <f t="shared" si="12"/>
        <v>4.0414805144346122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118.60000000000002</v>
      </c>
      <c r="CU36" s="17">
        <f>CT36*VLOOKUP('Données projet'!$B$13,Paramètres!$A$1:$I$89,3,0)*VLOOKUP('Données projet'!$B$13,Paramètres!$A$1:$I$89,5,0)</f>
        <v>101.75880000000004</v>
      </c>
      <c r="CV36" s="13">
        <f t="shared" si="41"/>
        <v>27.380581268956313</v>
      </c>
      <c r="CW36" s="20">
        <f t="shared" si="13"/>
        <v>224.91775571009896</v>
      </c>
      <c r="CX36" s="59">
        <f t="shared" si="14"/>
        <v>518.25108904343233</v>
      </c>
      <c r="CY36" s="59">
        <f ca="1">AVERAGE(OFFSET($CX$3,0,0,'Données projet'!$E$13+1,1))-AVERAGE(OFFSET($H$3,0,0,'Données projet'!$E$13+1,1))</f>
        <v>273.73158910361786</v>
      </c>
      <c r="CZ36" s="59">
        <f t="shared" si="42"/>
        <v>256.77417912163997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24.6</v>
      </c>
      <c r="DO36" s="12">
        <f>IF('Données projet'!$A$166&gt;35,DO35+DN36-DW35,IF(A36&lt;'Données projet'!$A$166,$DL$205^A36,IF(A36='Données projet'!$A$166,'Données projet'!$B$166,DO35+DN36-DW35)))</f>
        <v>566.79999999999995</v>
      </c>
      <c r="DP36" s="17">
        <f>DO36*VLOOKUP('Données projet'!$B$14,Paramètres!$A$1:$I$89,3,0)*VLOOKUP('Données projet'!$B$14,Paramètres!$A$1:$I$89,5,0)</f>
        <v>316.84120000000001</v>
      </c>
      <c r="DQ36" s="13">
        <f t="shared" si="43"/>
        <v>74.695724902330795</v>
      </c>
      <c r="DR36" s="20">
        <f t="shared" si="16"/>
        <v>681.9268108715595</v>
      </c>
      <c r="DS36" s="59">
        <f t="shared" si="17"/>
        <v>975.26014420489287</v>
      </c>
      <c r="DT36" s="59">
        <f ca="1">AVERAGE(OFFSET($DS$3,0,0,'Données projet'!$E$14+1,1))-AVERAGE(OFFSET($H$3,0,0,'Données projet'!$E$14+1,1))</f>
        <v>534.78683721545372</v>
      </c>
      <c r="DU36" s="59">
        <f t="shared" si="44"/>
        <v>710.59298755711075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5.1499745294179435</v>
      </c>
      <c r="EB36" s="21">
        <f>EXP(-LN(2)/25)*EB35+(1-EXP(-LN(2)/25))/(LN(2)/25)*Calculateur!DW36*Calculateur!DY36*VLOOKUP('Données projet'!$B$14,Paramètres!$A$1:$I$89,3,0)*0.475*44/12</f>
        <v>22.262165250806998</v>
      </c>
      <c r="EC36" s="21">
        <f>EXP(-LN(2)/2)*EC35+(1-EXP(-LN(2)/2))/(LN(2)/2)*DW36*DZ36*VLOOKUP('Données projet'!$B$14,Paramètres!$A$1:$I$89,3,0)*0.475*44/12</f>
        <v>4.1364573084890681</v>
      </c>
      <c r="ED36" s="22">
        <f t="shared" si="18"/>
        <v>31.548597088714008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149.40000000000003</v>
      </c>
      <c r="EK36" s="17">
        <f>EJ36*VLOOKUP('Données projet'!$B$15,Paramètres!$A$1:$I$89,3,0)*VLOOKUP('Données projet'!$B$15,Paramètres!$A$1:$I$89,5,0)</f>
        <v>130.51584000000005</v>
      </c>
      <c r="EL36" s="13">
        <f t="shared" si="45"/>
        <v>34.115527324758396</v>
      </c>
      <c r="EM36" s="20">
        <f t="shared" si="19"/>
        <v>286.73296475728768</v>
      </c>
      <c r="EN36" s="59">
        <f t="shared" si="20"/>
        <v>580.06629809062099</v>
      </c>
      <c r="EO36" s="59">
        <f ca="1">AVERAGE(OFFSET($EN$3,0,0,'Données projet'!$E$15+1,1))-AVERAGE(OFFSET($H$3,0,0,'Données projet'!$E$15+1,1))</f>
        <v>255.2813753128475</v>
      </c>
      <c r="EP36" s="59">
        <f t="shared" si="46"/>
        <v>317.03005098025352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2.2910983463856001</v>
      </c>
      <c r="EW36" s="21">
        <f>EXP(-LN(2)/25)*EW35+(1-EXP(-LN(2)/25))/(LN(2)/25)*Calculateur!ER36*Calculateur!ET36*VLOOKUP('Données projet'!$B$15,Paramètres!$A$1:$I$89,3,0)*0.475*44/12</f>
        <v>10.106870497285735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12.397968843671336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</v>
      </c>
      <c r="N37" s="13">
        <f>IF('Données projet'!$A$36&gt;35,N36+M37-V36,IF(A37&lt;'Données projet'!$A$36,$K$205^A37,IF(A37='Données projet'!$A$36,'Données projet'!$B$36,N36+M37-V36)))</f>
        <v>162.20000000000005</v>
      </c>
      <c r="O37" s="13">
        <f>N37*VLOOKUP('Données projet'!$B$9,Paramètres!$A$1:$I$89,3,0)*VLOOKUP('Données projet'!$B$9,Paramètres!$A$1:$I$89,5,0)</f>
        <v>118.92504000000004</v>
      </c>
      <c r="P37" s="13">
        <f t="shared" si="33"/>
        <v>31.424151376563206</v>
      </c>
      <c r="Q37" s="20">
        <f t="shared" si="53"/>
        <v>261.85817498084765</v>
      </c>
      <c r="R37" s="59">
        <f t="shared" si="0"/>
        <v>555.19150831418096</v>
      </c>
      <c r="S37" s="59">
        <f ca="1">AVERAGE(OFFSET($R$3,0,0,'Données projet'!$E$9+1,1))-AVERAGE(OFFSET($H$3,0,0,'Données projet'!$E$9+1,1))</f>
        <v>193.60868637458515</v>
      </c>
      <c r="T37" s="59">
        <f t="shared" si="34"/>
        <v>272.97841038165217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193.19999999999996</v>
      </c>
      <c r="AJ37" s="13">
        <f>AI37*VLOOKUP('Données projet'!$B$10,Paramètres!$A$1:$I$89,3,0)*VLOOKUP('Données projet'!$B$10,Paramètres!$A$1:$I$89,5,0)</f>
        <v>153.70991999999998</v>
      </c>
      <c r="AK37" s="13">
        <f t="shared" si="35"/>
        <v>39.420475690379831</v>
      </c>
      <c r="AL37" s="20">
        <f t="shared" si="4"/>
        <v>336.3687724940782</v>
      </c>
      <c r="AM37" s="59">
        <f t="shared" si="5"/>
        <v>629.70210582741151</v>
      </c>
      <c r="AN37" s="59">
        <f ca="1">AVERAGE(OFFSET($AM$3,0,0,'Données projet'!$E$10+1,1))-AVERAGE(OFFSET($H$3,0,0,'Données projet'!$E$10+1,1))</f>
        <v>281.79835088425858</v>
      </c>
      <c r="AO37" s="59">
        <f t="shared" si="36"/>
        <v>345.4750813433123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136.20000000000005</v>
      </c>
      <c r="BE37" s="13">
        <f>BD37*VLOOKUP('Données projet'!$B$11,Paramètres!$A$1:$I$89,3,0)*VLOOKUP('Données projet'!$B$11,Paramètres!$A$1:$I$89,5,0)</f>
        <v>123.23376000000005</v>
      </c>
      <c r="BF37" s="13">
        <f t="shared" si="37"/>
        <v>32.428049504876491</v>
      </c>
      <c r="BG37" s="20">
        <f t="shared" si="7"/>
        <v>271.11098488765998</v>
      </c>
      <c r="BH37" s="59">
        <f t="shared" si="8"/>
        <v>564.4443182209933</v>
      </c>
      <c r="BI37" s="59">
        <f ca="1">AVERAGE(OFFSET($BH$3,0,0,'Données projet'!$E$11+1,1))-AVERAGE(OFFSET($H$3,0,0,'Données projet'!$E$11+1,1))</f>
        <v>343.6089004382095</v>
      </c>
      <c r="BJ37" s="59">
        <f t="shared" si="38"/>
        <v>278.21741231699929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153.49999999999994</v>
      </c>
      <c r="BZ37" s="13">
        <f>BY37*VLOOKUP('Données projet'!$B$12,Paramètres!$A$1:$I$89,3,0)*VLOOKUP('Données projet'!$B$12,Paramètres!$A$1:$I$89,5,0)</f>
        <v>119.72999999999996</v>
      </c>
      <c r="CA37" s="13">
        <f t="shared" si="39"/>
        <v>31.612017974790529</v>
      </c>
      <c r="CB37" s="20">
        <f t="shared" si="10"/>
        <v>263.58734797276003</v>
      </c>
      <c r="CC37" s="59">
        <f t="shared" si="11"/>
        <v>556.92068130609334</v>
      </c>
      <c r="CD37" s="59">
        <f ca="1">AVERAGE(OFFSET($CC$3,0,0,'Données projet'!$E$12+1,1))-AVERAGE(OFFSET($H$3,0,0,'Données projet'!$E$12+1,1))</f>
        <v>288.82868507674738</v>
      </c>
      <c r="CE37" s="59">
        <f t="shared" si="40"/>
        <v>283.48738729114024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2.8064236351138705</v>
      </c>
      <c r="CM37" s="21">
        <f>EXP(-LN(2)/2)*CM36+(1-EXP(-LN(2)/2))/(LN(2)/2)*CG37*CJ37*VLOOKUP('Données projet'!$B$12,Paramètres!$A$1:$I$89,3,0)*0.475*44/12</f>
        <v>0.8175268590831456</v>
      </c>
      <c r="CN37" s="22">
        <f t="shared" si="12"/>
        <v>3.623950494197016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128.80000000000001</v>
      </c>
      <c r="CU37" s="17">
        <f>CT37*VLOOKUP('Données projet'!$B$13,Paramètres!$A$1:$I$89,3,0)*VLOOKUP('Données projet'!$B$13,Paramètres!$A$1:$I$89,5,0)</f>
        <v>110.51040000000003</v>
      </c>
      <c r="CV37" s="13">
        <f t="shared" si="41"/>
        <v>29.451206375056412</v>
      </c>
      <c r="CW37" s="20">
        <f t="shared" si="13"/>
        <v>243.76646443655662</v>
      </c>
      <c r="CX37" s="59">
        <f t="shared" si="14"/>
        <v>537.09979776988996</v>
      </c>
      <c r="CY37" s="59">
        <f ca="1">AVERAGE(OFFSET($CX$3,0,0,'Données projet'!$E$13+1,1))-AVERAGE(OFFSET($H$3,0,0,'Données projet'!$E$13+1,1))</f>
        <v>273.73158910361786</v>
      </c>
      <c r="CZ37" s="59">
        <f t="shared" si="42"/>
        <v>256.77417912163997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24.6</v>
      </c>
      <c r="DO37" s="12">
        <f>IF('Données projet'!$A$166&gt;35,DO36+DN37-DW36,IF(A37&lt;'Données projet'!$A$166,$DL$205^A37,IF(A37='Données projet'!$A$166,'Données projet'!$B$166,DO36+DN37-DW36)))</f>
        <v>591.4</v>
      </c>
      <c r="DP37" s="17">
        <f>DO37*VLOOKUP('Données projet'!$B$14,Paramètres!$A$1:$I$89,3,0)*VLOOKUP('Données projet'!$B$14,Paramètres!$A$1:$I$89,5,0)</f>
        <v>330.5926</v>
      </c>
      <c r="DQ37" s="13">
        <f t="shared" si="43"/>
        <v>77.553155439033247</v>
      </c>
      <c r="DR37" s="20">
        <f t="shared" si="16"/>
        <v>710.85385738964942</v>
      </c>
      <c r="DS37" s="59">
        <f t="shared" si="17"/>
        <v>1004.1871907229827</v>
      </c>
      <c r="DT37" s="59">
        <f ca="1">AVERAGE(OFFSET($DS$3,0,0,'Données projet'!$E$14+1,1))-AVERAGE(OFFSET($H$3,0,0,'Données projet'!$E$14+1,1))</f>
        <v>534.78683721545372</v>
      </c>
      <c r="DU37" s="59">
        <f t="shared" si="44"/>
        <v>710.59298755711075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5.0489866700703558</v>
      </c>
      <c r="EB37" s="21">
        <f>EXP(-LN(2)/25)*EB36+(1-EXP(-LN(2)/25))/(LN(2)/25)*Calculateur!DW37*Calculateur!DY37*VLOOKUP('Données projet'!$B$14,Paramètres!$A$1:$I$89,3,0)*0.475*44/12</f>
        <v>21.653405171307291</v>
      </c>
      <c r="EC37" s="21">
        <f>EXP(-LN(2)/2)*EC36+(1-EXP(-LN(2)/2))/(LN(2)/2)*DW37*DZ37*VLOOKUP('Données projet'!$B$14,Paramètres!$A$1:$I$89,3,0)*0.475*44/12</f>
        <v>2.9249170129212749</v>
      </c>
      <c r="ED37" s="22">
        <f t="shared" si="18"/>
        <v>29.627308854298921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162.20000000000005</v>
      </c>
      <c r="EK37" s="17">
        <f>EJ37*VLOOKUP('Données projet'!$B$15,Paramètres!$A$1:$I$89,3,0)*VLOOKUP('Données projet'!$B$15,Paramètres!$A$1:$I$89,5,0)</f>
        <v>141.69792000000007</v>
      </c>
      <c r="EL37" s="13">
        <f t="shared" si="45"/>
        <v>36.68570180120939</v>
      </c>
      <c r="EM37" s="20">
        <f t="shared" si="19"/>
        <v>310.68480797043981</v>
      </c>
      <c r="EN37" s="59">
        <f t="shared" si="20"/>
        <v>604.01814130377306</v>
      </c>
      <c r="EO37" s="59">
        <f ca="1">AVERAGE(OFFSET($EN$3,0,0,'Données projet'!$E$15+1,1))-AVERAGE(OFFSET($H$3,0,0,'Données projet'!$E$15+1,1))</f>
        <v>255.2813753128475</v>
      </c>
      <c r="EP37" s="59">
        <f t="shared" si="46"/>
        <v>317.03005098025352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2.2461713052449848</v>
      </c>
      <c r="EW37" s="21">
        <f>EXP(-LN(2)/25)*EW36+(1-EXP(-LN(2)/25))/(LN(2)/25)*Calculateur!ER37*Calculateur!ET37*VLOOKUP('Données projet'!$B$15,Paramètres!$A$1:$I$89,3,0)*0.475*44/12</f>
        <v>9.8304975920402367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12.076668897285222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175</v>
      </c>
      <c r="L38" s="12">
        <f>VLOOKUP(A38,'Données projet'!$A$35:$I$55,9,0)</f>
        <v>12.8</v>
      </c>
      <c r="M38" s="12">
        <f t="array" ref="M38">INDEX(L:L,MIN(IF(ISNUMBER(L38:L234),ROW(L38:L234),"")))</f>
        <v>12.8</v>
      </c>
      <c r="N38" s="13">
        <f>IF('Données projet'!$A$36&gt;35,N37+M38-V37,IF(A38&lt;'Données projet'!$A$36,$K$205^A38,IF(A38='Données projet'!$A$36,'Données projet'!$B$36,N37+M38-V37)))</f>
        <v>175.00000000000006</v>
      </c>
      <c r="O38" s="13">
        <f>N38*VLOOKUP('Données projet'!$B$9,Paramètres!$A$1:$I$89,3,0)*VLOOKUP('Données projet'!$B$9,Paramètres!$A$1:$I$89,5,0)</f>
        <v>128.31000000000006</v>
      </c>
      <c r="P38" s="13">
        <f t="shared" si="33"/>
        <v>33.605553053308078</v>
      </c>
      <c r="Q38" s="20">
        <f t="shared" si="53"/>
        <v>282.00292156784502</v>
      </c>
      <c r="R38" s="59">
        <f t="shared" si="0"/>
        <v>575.33625490117834</v>
      </c>
      <c r="S38" s="59">
        <f ca="1">AVERAGE(OFFSET($R$3,0,0,'Données projet'!$E$9+1,1))-AVERAGE(OFFSET($H$3,0,0,'Données projet'!$E$9+1,1))</f>
        <v>193.60868637458515</v>
      </c>
      <c r="T38" s="59">
        <f t="shared" si="34"/>
        <v>272.97841038165217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35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206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205.99999999999997</v>
      </c>
      <c r="AJ38" s="13">
        <f>AI38*VLOOKUP('Données projet'!$B$10,Paramètres!$A$1:$I$89,3,0)*VLOOKUP('Données projet'!$B$10,Paramètres!$A$1:$I$89,5,0)</f>
        <v>163.89359999999999</v>
      </c>
      <c r="AK38" s="13">
        <f t="shared" si="35"/>
        <v>41.71949506642347</v>
      </c>
      <c r="AL38" s="20">
        <f t="shared" si="4"/>
        <v>358.10947390735419</v>
      </c>
      <c r="AM38" s="59">
        <f t="shared" si="5"/>
        <v>651.44280724068744</v>
      </c>
      <c r="AN38" s="59">
        <f ca="1">AVERAGE(OFFSET($AM$3,0,0,'Données projet'!$E$10+1,1))-AVERAGE(OFFSET($H$3,0,0,'Données projet'!$E$10+1,1))</f>
        <v>281.79835088425858</v>
      </c>
      <c r="AO38" s="59">
        <f t="shared" si="36"/>
        <v>345.4750813433123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147.00000000000006</v>
      </c>
      <c r="BE38" s="13">
        <f>BD38*VLOOKUP('Données projet'!$B$11,Paramètres!$A$1:$I$89,3,0)*VLOOKUP('Données projet'!$B$11,Paramètres!$A$1:$I$89,5,0)</f>
        <v>133.00560000000004</v>
      </c>
      <c r="BF38" s="13">
        <f t="shared" si="37"/>
        <v>34.689938673073549</v>
      </c>
      <c r="BG38" s="20">
        <f t="shared" si="7"/>
        <v>292.06972985560316</v>
      </c>
      <c r="BH38" s="59">
        <f t="shared" si="8"/>
        <v>585.40306318893647</v>
      </c>
      <c r="BI38" s="59">
        <f ca="1">AVERAGE(OFFSET($BH$3,0,0,'Données projet'!$E$11+1,1))-AVERAGE(OFFSET($H$3,0,0,'Données projet'!$E$11+1,1))</f>
        <v>343.6089004382095</v>
      </c>
      <c r="BJ38" s="59">
        <f t="shared" si="38"/>
        <v>278.21741231699929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164.99999999999994</v>
      </c>
      <c r="BZ38" s="13">
        <f>BY38*VLOOKUP('Données projet'!$B$12,Paramètres!$A$1:$I$89,3,0)*VLOOKUP('Données projet'!$B$12,Paramètres!$A$1:$I$89,5,0)</f>
        <v>128.69999999999996</v>
      </c>
      <c r="CA38" s="13">
        <f t="shared" si="39"/>
        <v>33.695792019186115</v>
      </c>
      <c r="CB38" s="20">
        <f t="shared" si="10"/>
        <v>282.83933776674911</v>
      </c>
      <c r="CC38" s="59">
        <f t="shared" si="11"/>
        <v>576.17267110008243</v>
      </c>
      <c r="CD38" s="59">
        <f ca="1">AVERAGE(OFFSET($CC$3,0,0,'Données projet'!$E$12+1,1))-AVERAGE(OFFSET($H$3,0,0,'Données projet'!$E$12+1,1))</f>
        <v>288.82868507674738</v>
      </c>
      <c r="CE38" s="59">
        <f t="shared" si="40"/>
        <v>283.48738729114024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2.7296818332282768</v>
      </c>
      <c r="CM38" s="21">
        <f>EXP(-LN(2)/2)*CM37+(1-EXP(-LN(2)/2))/(LN(2)/2)*CG38*CJ38*VLOOKUP('Données projet'!$B$12,Paramètres!$A$1:$I$89,3,0)*0.475*44/12</f>
        <v>0.5780787858598313</v>
      </c>
      <c r="CN38" s="22">
        <f t="shared" si="12"/>
        <v>3.3077606190881079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139</v>
      </c>
      <c r="CR38" s="12">
        <f>VLOOKUP(A38,'Données projet'!$A$139:$I$159,9,0)</f>
        <v>10.199999999999999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139</v>
      </c>
      <c r="CU38" s="17">
        <f>CT38*VLOOKUP('Données projet'!$B$13,Paramètres!$A$1:$I$89,3,0)*VLOOKUP('Données projet'!$B$13,Paramètres!$A$1:$I$89,5,0)</f>
        <v>119.26200000000001</v>
      </c>
      <c r="CV38" s="13">
        <f t="shared" si="41"/>
        <v>31.502811162802828</v>
      </c>
      <c r="CW38" s="20">
        <f t="shared" si="13"/>
        <v>262.58204610854824</v>
      </c>
      <c r="CX38" s="59">
        <f t="shared" si="14"/>
        <v>555.91537944188156</v>
      </c>
      <c r="CY38" s="59">
        <f ca="1">AVERAGE(OFFSET($CX$3,0,0,'Données projet'!$E$13+1,1))-AVERAGE(OFFSET($H$3,0,0,'Données projet'!$E$13+1,1))</f>
        <v>273.73158910361786</v>
      </c>
      <c r="CZ38" s="59">
        <f t="shared" si="42"/>
        <v>256.77417912163997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616</v>
      </c>
      <c r="DM38" s="12">
        <f>VLOOKUP(A38,'Données projet'!$A$165:$I$185,9,0)</f>
        <v>24.6</v>
      </c>
      <c r="DN38" s="12">
        <f t="array" ref="DN38">INDEX(DM:DM,MIN(IF(ISNUMBER(DM38:DM234),ROW(DM38:DM234),"")))</f>
        <v>24.6</v>
      </c>
      <c r="DO38" s="12">
        <f>IF('Données projet'!$A$166&gt;35,DO37+DN38-DW37,IF(A38&lt;'Données projet'!$A$166,$DL$205^A38,IF(A38='Données projet'!$A$166,'Données projet'!$B$166,DO37+DN38-DW37)))</f>
        <v>616</v>
      </c>
      <c r="DP38" s="17">
        <f>DO38*VLOOKUP('Données projet'!$B$14,Paramètres!$A$1:$I$89,3,0)*VLOOKUP('Données projet'!$B$14,Paramètres!$A$1:$I$89,5,0)</f>
        <v>344.34399999999999</v>
      </c>
      <c r="DQ38" s="13">
        <f t="shared" si="43"/>
        <v>80.396780105945552</v>
      </c>
      <c r="DR38" s="20">
        <f t="shared" si="16"/>
        <v>739.75685868452183</v>
      </c>
      <c r="DS38" s="59">
        <f t="shared" si="17"/>
        <v>1033.0901920178551</v>
      </c>
      <c r="DT38" s="59">
        <f ca="1">AVERAGE(OFFSET($DS$3,0,0,'Données projet'!$E$14+1,1))-AVERAGE(OFFSET($H$3,0,0,'Données projet'!$E$14+1,1))</f>
        <v>534.78683721545372</v>
      </c>
      <c r="DU38" s="59">
        <f t="shared" si="44"/>
        <v>710.59298755711075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72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4.9499791210480621</v>
      </c>
      <c r="EB38" s="21">
        <f>EXP(-LN(2)/25)*EB37+(1-EXP(-LN(2)/25))/(LN(2)/25)*Calculateur!DW38*Calculateur!DY38*VLOOKUP('Données projet'!$B$14,Paramètres!$A$1:$I$89,3,0)*0.475*44/12</f>
        <v>21.061291668194805</v>
      </c>
      <c r="EC38" s="21">
        <f>EXP(-LN(2)/2)*EC37+(1-EXP(-LN(2)/2))/(LN(2)/2)*DW38*DZ38*VLOOKUP('Données projet'!$B$14,Paramètres!$A$1:$I$89,3,0)*0.475*44/12</f>
        <v>2.0682286542445345</v>
      </c>
      <c r="ED38" s="22">
        <f t="shared" si="18"/>
        <v>28.079499443487403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175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175.00000000000006</v>
      </c>
      <c r="EK38" s="17">
        <f>EJ38*VLOOKUP('Données projet'!$B$15,Paramètres!$A$1:$I$89,3,0)*VLOOKUP('Données projet'!$B$15,Paramètres!$A$1:$I$89,5,0)</f>
        <v>152.88000000000008</v>
      </c>
      <c r="EL38" s="13">
        <f t="shared" si="45"/>
        <v>39.232349774697887</v>
      </c>
      <c r="EM38" s="20">
        <f t="shared" si="19"/>
        <v>334.59567585759896</v>
      </c>
      <c r="EN38" s="59">
        <f t="shared" si="20"/>
        <v>627.92900919093222</v>
      </c>
      <c r="EO38" s="59">
        <f ca="1">AVERAGE(OFFSET($EN$3,0,0,'Données projet'!$E$15+1,1))-AVERAGE(OFFSET($H$3,0,0,'Données projet'!$E$15+1,1))</f>
        <v>255.2813753128475</v>
      </c>
      <c r="EP38" s="59">
        <f t="shared" si="46"/>
        <v>317.03005098025352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8.6000000000000007E-2</v>
      </c>
      <c r="ET38" s="16">
        <f>IF(ISNA(VLOOKUP(A38,'Données projet'!$A$191:$I$211,6,0)),0%,VLOOKUP(A38,'Données projet'!$A$191:$I$211,6,0)*VLOOKUP('Données projet'!$B$15,Paramètres!$A$1:$I$89,7,0))</f>
        <v>0.17200000000000001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5.1089994158939041</v>
      </c>
      <c r="EW38" s="21">
        <f>EXP(-LN(2)/25)*EW37+(1-EXP(-LN(2)/25))/(LN(2)/25)*Calculateur!ER38*Calculateur!ET38*VLOOKUP('Données projet'!$B$15,Paramètres!$A$1:$I$89,3,0)*0.475*44/12</f>
        <v>15.352539495906655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20.46153891180056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13.4</v>
      </c>
      <c r="N39" s="13">
        <f>IF('Données projet'!$A$36&gt;35,N38+M39-V38,IF(A39&lt;'Données projet'!$A$36,$K$205^A39,IF(A39='Données projet'!$A$36,'Données projet'!$B$36,N38+M39-V38)))</f>
        <v>153.40000000000006</v>
      </c>
      <c r="O39" s="13">
        <f>N39*VLOOKUP('Données projet'!$B$9,Paramètres!$A$1:$I$89,3,0)*VLOOKUP('Données projet'!$B$9,Paramètres!$A$1:$I$89,5,0)</f>
        <v>112.47288000000005</v>
      </c>
      <c r="P39" s="13">
        <f t="shared" si="33"/>
        <v>29.912858390551417</v>
      </c>
      <c r="Q39" s="20">
        <f t="shared" si="53"/>
        <v>247.98849436354377</v>
      </c>
      <c r="R39" s="59">
        <f t="shared" si="0"/>
        <v>541.32182769687711</v>
      </c>
      <c r="S39" s="59">
        <f ca="1">AVERAGE(OFFSET($R$3,0,0,'Données projet'!$E$9+1,1))-AVERAGE(OFFSET($H$3,0,0,'Données projet'!$E$9+1,1))</f>
        <v>193.60868637458515</v>
      </c>
      <c r="T39" s="59">
        <f t="shared" si="34"/>
        <v>272.97841038165217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182.39999999999998</v>
      </c>
      <c r="AJ39" s="13">
        <f>AI39*VLOOKUP('Données projet'!$B$10,Paramètres!$A$1:$I$89,3,0)*VLOOKUP('Données projet'!$B$10,Paramètres!$A$1:$I$89,5,0)</f>
        <v>145.11743999999999</v>
      </c>
      <c r="AK39" s="13">
        <f t="shared" si="35"/>
        <v>37.466878406916173</v>
      </c>
      <c r="AL39" s="20">
        <f t="shared" si="4"/>
        <v>318.00102122537896</v>
      </c>
      <c r="AM39" s="59">
        <f t="shared" si="5"/>
        <v>611.33435455871222</v>
      </c>
      <c r="AN39" s="59">
        <f ca="1">AVERAGE(OFFSET($AM$3,0,0,'Données projet'!$E$10+1,1))-AVERAGE(OFFSET($H$3,0,0,'Données projet'!$E$10+1,1))</f>
        <v>281.79835088425858</v>
      </c>
      <c r="AO39" s="59">
        <f t="shared" si="36"/>
        <v>345.4750813433123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130.20000000000005</v>
      </c>
      <c r="BE39" s="13">
        <f>BD39*VLOOKUP('Données projet'!$B$11,Paramètres!$A$1:$I$89,3,0)*VLOOKUP('Données projet'!$B$11,Paramètres!$A$1:$I$89,5,0)</f>
        <v>117.80496000000004</v>
      </c>
      <c r="BF39" s="13">
        <f t="shared" si="37"/>
        <v>31.162493487829593</v>
      </c>
      <c r="BG39" s="20">
        <f t="shared" si="7"/>
        <v>259.45164815796994</v>
      </c>
      <c r="BH39" s="59">
        <f t="shared" si="8"/>
        <v>552.78498149130326</v>
      </c>
      <c r="BI39" s="59">
        <f ca="1">AVERAGE(OFFSET($BH$3,0,0,'Données projet'!$E$11+1,1))-AVERAGE(OFFSET($H$3,0,0,'Données projet'!$E$11+1,1))</f>
        <v>343.6089004382095</v>
      </c>
      <c r="BJ39" s="59">
        <f t="shared" si="38"/>
        <v>278.21741231699929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176.49999999999994</v>
      </c>
      <c r="BZ39" s="13">
        <f>BY39*VLOOKUP('Données projet'!$B$12,Paramètres!$A$1:$I$89,3,0)*VLOOKUP('Données projet'!$B$12,Paramètres!$A$1:$I$89,5,0)</f>
        <v>137.66999999999996</v>
      </c>
      <c r="CA39" s="13">
        <f t="shared" si="39"/>
        <v>35.762714965854656</v>
      </c>
      <c r="CB39" s="20">
        <f t="shared" si="10"/>
        <v>302.06197856553007</v>
      </c>
      <c r="CC39" s="59">
        <f t="shared" si="11"/>
        <v>595.39531189886338</v>
      </c>
      <c r="CD39" s="59">
        <f ca="1">AVERAGE(OFFSET($CC$3,0,0,'Données projet'!$E$12+1,1))-AVERAGE(OFFSET($H$3,0,0,'Données projet'!$E$12+1,1))</f>
        <v>288.82868507674738</v>
      </c>
      <c r="CE39" s="59">
        <f t="shared" si="40"/>
        <v>283.48738729114024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2.6550385399509207</v>
      </c>
      <c r="CM39" s="21">
        <f>EXP(-LN(2)/2)*CM38+(1-EXP(-LN(2)/2))/(LN(2)/2)*CG39*CJ39*VLOOKUP('Données projet'!$B$12,Paramètres!$A$1:$I$89,3,0)*0.475*44/12</f>
        <v>0.4087634295415728</v>
      </c>
      <c r="CN39" s="22">
        <f t="shared" si="12"/>
        <v>3.0638019694924936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10.6</v>
      </c>
      <c r="CT39" s="12">
        <f>IF('Données projet'!$A$140&gt;35,CT38+CS39-DB38,IF(A39&lt;'Données projet'!$A$140,$CQ$205^A39,IF(A39='Données projet'!$A$140,'Données projet'!$B$140,CT38+CS39-DB38)))</f>
        <v>121.6</v>
      </c>
      <c r="CU39" s="17">
        <f>CT39*VLOOKUP('Données projet'!$B$13,Paramètres!$A$1:$I$89,3,0)*VLOOKUP('Données projet'!$B$13,Paramètres!$A$1:$I$89,5,0)</f>
        <v>104.33279999999999</v>
      </c>
      <c r="CV39" s="13">
        <f t="shared" si="41"/>
        <v>27.991665469945527</v>
      </c>
      <c r="CW39" s="20">
        <f t="shared" si="13"/>
        <v>230.46511069348844</v>
      </c>
      <c r="CX39" s="59">
        <f t="shared" si="14"/>
        <v>523.7984440268217</v>
      </c>
      <c r="CY39" s="59">
        <f ca="1">AVERAGE(OFFSET($CX$3,0,0,'Données projet'!$E$13+1,1))-AVERAGE(OFFSET($H$3,0,0,'Données projet'!$E$13+1,1))</f>
        <v>273.73158910361786</v>
      </c>
      <c r="CZ39" s="59">
        <f t="shared" si="42"/>
        <v>256.77417912163997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22</v>
      </c>
      <c r="DO39" s="12">
        <f>IF('Données projet'!$A$166&gt;35,DO38+DN39-DW38,IF(A39&lt;'Données projet'!$A$166,$DL$205^A39,IF(A39='Données projet'!$A$166,'Données projet'!$B$166,DO38+DN39-DW38)))</f>
        <v>566</v>
      </c>
      <c r="DP39" s="17">
        <f>DO39*VLOOKUP('Données projet'!$B$14,Paramètres!$A$1:$I$89,3,0)*VLOOKUP('Données projet'!$B$14,Paramètres!$A$1:$I$89,5,0)</f>
        <v>316.39400000000001</v>
      </c>
      <c r="DQ39" s="13">
        <f t="shared" si="43"/>
        <v>74.602561081494827</v>
      </c>
      <c r="DR39" s="20">
        <f t="shared" si="16"/>
        <v>680.98567721693689</v>
      </c>
      <c r="DS39" s="59">
        <f t="shared" si="17"/>
        <v>974.31901055027015</v>
      </c>
      <c r="DT39" s="59">
        <f ca="1">AVERAGE(OFFSET($DS$3,0,0,'Données projet'!$E$14+1,1))-AVERAGE(OFFSET($H$3,0,0,'Données projet'!$E$14+1,1))</f>
        <v>534.78683721545372</v>
      </c>
      <c r="DU39" s="59">
        <f t="shared" si="44"/>
        <v>710.59298755711075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4.8529130496734529</v>
      </c>
      <c r="EB39" s="21">
        <f>EXP(-LN(2)/25)*EB38+(1-EXP(-LN(2)/25))/(LN(2)/25)*Calculateur!DW39*Calculateur!DY39*VLOOKUP('Données projet'!$B$14,Paramètres!$A$1:$I$89,3,0)*0.475*44/12</f>
        <v>20.485369539962825</v>
      </c>
      <c r="EC39" s="21">
        <f>EXP(-LN(2)/2)*EC38+(1-EXP(-LN(2)/2))/(LN(2)/2)*DW39*DZ39*VLOOKUP('Données projet'!$B$14,Paramètres!$A$1:$I$89,3,0)*0.475*44/12</f>
        <v>1.4624585064606379</v>
      </c>
      <c r="ED39" s="22">
        <f t="shared" si="18"/>
        <v>26.800741096096917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13.4</v>
      </c>
      <c r="EJ39" s="12">
        <f>IF('Données projet'!$A$192&gt;35,EJ38+EI39-ER38,IF(A39&lt;'Données projet'!$A$192,$EG$205^A39,IF(A39='Données projet'!$A$192,'Données projet'!$B$192,EJ38+EI39-ER38)))</f>
        <v>153.40000000000006</v>
      </c>
      <c r="EK39" s="17">
        <f>EJ39*VLOOKUP('Données projet'!$B$15,Paramètres!$A$1:$I$89,3,0)*VLOOKUP('Données projet'!$B$15,Paramètres!$A$1:$I$89,5,0)</f>
        <v>134.01024000000007</v>
      </c>
      <c r="EL39" s="13">
        <f t="shared" si="45"/>
        <v>34.921363182969436</v>
      </c>
      <c r="EM39" s="20">
        <f t="shared" si="19"/>
        <v>294.22254221033853</v>
      </c>
      <c r="EN39" s="59">
        <f t="shared" si="20"/>
        <v>587.55587554367185</v>
      </c>
      <c r="EO39" s="59">
        <f ca="1">AVERAGE(OFFSET($EN$3,0,0,'Données projet'!$E$15+1,1))-AVERAGE(OFFSET($H$3,0,0,'Données projet'!$E$15+1,1))</f>
        <v>255.2813753128475</v>
      </c>
      <c r="EP39" s="59">
        <f t="shared" si="46"/>
        <v>317.03005098025352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5.0088150535301708</v>
      </c>
      <c r="EW39" s="21">
        <f>EXP(-LN(2)/25)*EW38+(1-EXP(-LN(2)/25))/(LN(2)/25)*Calculateur!ER39*Calculateur!ET39*VLOOKUP('Données projet'!$B$15,Paramètres!$A$1:$I$89,3,0)*0.475*44/12</f>
        <v>14.932723496036123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19.941538549566296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13.4</v>
      </c>
      <c r="N40" s="13">
        <f>IF('Données projet'!$A$36&gt;35,N39+M40-V39,IF(A40&lt;'Données projet'!$A$36,$K$205^A40,IF(A40='Données projet'!$A$36,'Données projet'!$B$36,N39+M40-V39)))</f>
        <v>166.80000000000007</v>
      </c>
      <c r="O40" s="13">
        <f>N40*VLOOKUP('Données projet'!$B$9,Paramètres!$A$1:$I$89,3,0)*VLOOKUP('Données projet'!$B$9,Paramètres!$A$1:$I$89,5,0)</f>
        <v>122.29776000000005</v>
      </c>
      <c r="P40" s="13">
        <f t="shared" si="33"/>
        <v>32.210321062919569</v>
      </c>
      <c r="Q40" s="20">
        <f t="shared" si="53"/>
        <v>269.10157451791832</v>
      </c>
      <c r="R40" s="59">
        <f t="shared" si="0"/>
        <v>562.43490785125164</v>
      </c>
      <c r="S40" s="59">
        <f ca="1">AVERAGE(OFFSET($R$3,0,0,'Données projet'!$E$9+1,1))-AVERAGE(OFFSET($H$3,0,0,'Données projet'!$E$9+1,1))</f>
        <v>193.60868637458515</v>
      </c>
      <c r="T40" s="59">
        <f t="shared" si="34"/>
        <v>272.97841038165217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193.79999999999998</v>
      </c>
      <c r="AJ40" s="13">
        <f>AI40*VLOOKUP('Données projet'!$B$10,Paramètres!$A$1:$I$89,3,0)*VLOOKUP('Données projet'!$B$10,Paramètres!$A$1:$I$89,5,0)</f>
        <v>154.18727999999999</v>
      </c>
      <c r="AK40" s="13">
        <f t="shared" si="35"/>
        <v>39.528629863903078</v>
      </c>
      <c r="AL40" s="20">
        <f t="shared" si="4"/>
        <v>337.38854301296448</v>
      </c>
      <c r="AM40" s="59">
        <f t="shared" si="5"/>
        <v>630.72187634629779</v>
      </c>
      <c r="AN40" s="59">
        <f ca="1">AVERAGE(OFFSET($AM$3,0,0,'Données projet'!$E$10+1,1))-AVERAGE(OFFSET($H$3,0,0,'Données projet'!$E$10+1,1))</f>
        <v>281.79835088425858</v>
      </c>
      <c r="AO40" s="59">
        <f t="shared" si="36"/>
        <v>345.4750813433123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141.40000000000003</v>
      </c>
      <c r="BE40" s="13">
        <f>BD40*VLOOKUP('Données projet'!$B$11,Paramètres!$A$1:$I$89,3,0)*VLOOKUP('Données projet'!$B$11,Paramètres!$A$1:$I$89,5,0)</f>
        <v>127.93872000000003</v>
      </c>
      <c r="BF40" s="13">
        <f t="shared" si="37"/>
        <v>33.519615889545641</v>
      </c>
      <c r="BG40" s="20">
        <f t="shared" si="7"/>
        <v>281.20660167429202</v>
      </c>
      <c r="BH40" s="59">
        <f t="shared" si="8"/>
        <v>574.53993500762533</v>
      </c>
      <c r="BI40" s="59">
        <f ca="1">AVERAGE(OFFSET($BH$3,0,0,'Données projet'!$E$11+1,1))-AVERAGE(OFFSET($H$3,0,0,'Données projet'!$E$11+1,1))</f>
        <v>343.6089004382095</v>
      </c>
      <c r="BJ40" s="59">
        <f t="shared" si="38"/>
        <v>278.21741231699929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188</v>
      </c>
      <c r="BW40" s="12">
        <f>VLOOKUP(A40,'Données projet'!$A$113:$I$133,9,0)</f>
        <v>11.5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187.99999999999994</v>
      </c>
      <c r="BZ40" s="13">
        <f>BY40*VLOOKUP('Données projet'!$B$12,Paramètres!$A$1:$I$89,3,0)*VLOOKUP('Données projet'!$B$12,Paramètres!$A$1:$I$89,5,0)</f>
        <v>146.63999999999996</v>
      </c>
      <c r="CA40" s="13">
        <f t="shared" si="39"/>
        <v>37.814009712703026</v>
      </c>
      <c r="CB40" s="20">
        <f t="shared" si="10"/>
        <v>321.25740024962437</v>
      </c>
      <c r="CC40" s="59">
        <f t="shared" si="11"/>
        <v>614.59073358295768</v>
      </c>
      <c r="CD40" s="59">
        <f ca="1">AVERAGE(OFFSET($CC$3,0,0,'Données projet'!$E$12+1,1))-AVERAGE(OFFSET($H$3,0,0,'Données projet'!$E$12+1,1))</f>
        <v>288.82868507674738</v>
      </c>
      <c r="CE40" s="59">
        <f t="shared" si="40"/>
        <v>283.48738729114024</v>
      </c>
      <c r="CF40" s="15">
        <f>IF(ISNA(VLOOKUP(A40,'Données projet'!$A$113:$I$133,3,0)),0,VLOOKUP(A40,'Données projet'!$A$113:$I$133,3,0))</f>
        <v>5</v>
      </c>
      <c r="CG40" s="15">
        <f>IF(ISNA(VLOOKUP(A40,'Données projet'!$A$113:$I$133,4,0)),0,VLOOKUP(A40,'Données projet'!$A$113:$I$133,4,0))</f>
        <v>36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2.5824363714535541</v>
      </c>
      <c r="CM40" s="21">
        <f>EXP(-LN(2)/2)*CM39+(1-EXP(-LN(2)/2))/(LN(2)/2)*CG40*CJ40*VLOOKUP('Données projet'!$B$12,Paramètres!$A$1:$I$89,3,0)*0.475*44/12</f>
        <v>0.28903939292991565</v>
      </c>
      <c r="CN40" s="22">
        <f t="shared" si="12"/>
        <v>2.8714757643834696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10.6</v>
      </c>
      <c r="CT40" s="12">
        <f>IF('Données projet'!$A$140&gt;35,CT39+CS40-DB39,IF(A40&lt;'Données projet'!$A$140,$CQ$205^A40,IF(A40='Données projet'!$A$140,'Données projet'!$B$140,CT39+CS40-DB39)))</f>
        <v>132.19999999999999</v>
      </c>
      <c r="CU40" s="17">
        <f>CT40*VLOOKUP('Données projet'!$B$13,Paramètres!$A$1:$I$89,3,0)*VLOOKUP('Données projet'!$B$13,Paramètres!$A$1:$I$89,5,0)</f>
        <v>113.4276</v>
      </c>
      <c r="CV40" s="13">
        <f t="shared" si="41"/>
        <v>30.137106037876791</v>
      </c>
      <c r="CW40" s="20">
        <f t="shared" si="13"/>
        <v>250.04186301596874</v>
      </c>
      <c r="CX40" s="59">
        <f t="shared" si="14"/>
        <v>543.37519634930209</v>
      </c>
      <c r="CY40" s="59">
        <f ca="1">AVERAGE(OFFSET($CX$3,0,0,'Données projet'!$E$13+1,1))-AVERAGE(OFFSET($H$3,0,0,'Données projet'!$E$13+1,1))</f>
        <v>273.73158910361786</v>
      </c>
      <c r="CZ40" s="59">
        <f t="shared" si="42"/>
        <v>256.77417912163997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22</v>
      </c>
      <c r="DO40" s="12">
        <f>IF('Données projet'!$A$166&gt;35,DO39+DN40-DW39,IF(A40&lt;'Données projet'!$A$166,$DL$205^A40,IF(A40='Données projet'!$A$166,'Données projet'!$B$166,DO39+DN40-DW39)))</f>
        <v>588</v>
      </c>
      <c r="DP40" s="17">
        <f>DO40*VLOOKUP('Données projet'!$B$14,Paramètres!$A$1:$I$89,3,0)*VLOOKUP('Données projet'!$B$14,Paramètres!$A$1:$I$89,5,0)</f>
        <v>328.69200000000001</v>
      </c>
      <c r="DQ40" s="13">
        <f t="shared" si="43"/>
        <v>77.159062750651316</v>
      </c>
      <c r="DR40" s="20">
        <f t="shared" si="16"/>
        <v>706.85726762405102</v>
      </c>
      <c r="DS40" s="59">
        <f t="shared" si="17"/>
        <v>1000.1906009573843</v>
      </c>
      <c r="DT40" s="59">
        <f ca="1">AVERAGE(OFFSET($DS$3,0,0,'Données projet'!$E$14+1,1))-AVERAGE(OFFSET($H$3,0,0,'Données projet'!$E$14+1,1))</f>
        <v>534.78683721545372</v>
      </c>
      <c r="DU40" s="59">
        <f t="shared" si="44"/>
        <v>710.59298755711075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4.7577503847540425</v>
      </c>
      <c r="EB40" s="21">
        <f>EXP(-LN(2)/25)*EB39+(1-EXP(-LN(2)/25))/(LN(2)/25)*Calculateur!DW40*Calculateur!DY40*VLOOKUP('Données projet'!$B$14,Paramètres!$A$1:$I$89,3,0)*0.475*44/12</f>
        <v>19.925196032613776</v>
      </c>
      <c r="EC40" s="21">
        <f>EXP(-LN(2)/2)*EC39+(1-EXP(-LN(2)/2))/(LN(2)/2)*DW40*DZ40*VLOOKUP('Données projet'!$B$14,Paramètres!$A$1:$I$89,3,0)*0.475*44/12</f>
        <v>1.0341143271222675</v>
      </c>
      <c r="ED40" s="22">
        <f t="shared" si="18"/>
        <v>25.717060744490087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13.4</v>
      </c>
      <c r="EJ40" s="12">
        <f>IF('Données projet'!$A$192&gt;35,EJ39+EI40-ER39,IF(A40&lt;'Données projet'!$A$192,$EG$205^A40,IF(A40='Données projet'!$A$192,'Données projet'!$B$192,EJ39+EI40-ER39)))</f>
        <v>166.80000000000007</v>
      </c>
      <c r="EK40" s="17">
        <f>EJ40*VLOOKUP('Données projet'!$B$15,Paramètres!$A$1:$I$89,3,0)*VLOOKUP('Données projet'!$B$15,Paramètres!$A$1:$I$89,5,0)</f>
        <v>145.71648000000008</v>
      </c>
      <c r="EL40" s="13">
        <f t="shared" si="45"/>
        <v>37.60350500083149</v>
      </c>
      <c r="EM40" s="20">
        <f t="shared" si="19"/>
        <v>319.28230720978166</v>
      </c>
      <c r="EN40" s="59">
        <f t="shared" si="20"/>
        <v>612.61564054311498</v>
      </c>
      <c r="EO40" s="59">
        <f ca="1">AVERAGE(OFFSET($EN$3,0,0,'Données projet'!$E$15+1,1))-AVERAGE(OFFSET($H$3,0,0,'Données projet'!$E$15+1,1))</f>
        <v>255.2813753128475</v>
      </c>
      <c r="EP40" s="59">
        <f t="shared" si="46"/>
        <v>317.03005098025352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4.9105952454059629</v>
      </c>
      <c r="EW40" s="21">
        <f>EXP(-LN(2)/25)*EW39+(1-EXP(-LN(2)/25))/(LN(2)/25)*Calculateur!ER40*Calculateur!ET40*VLOOKUP('Données projet'!$B$15,Paramètres!$A$1:$I$89,3,0)*0.475*44/12</f>
        <v>14.524387386759216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19.43498263216518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13.4</v>
      </c>
      <c r="N41" s="13">
        <f>IF('Données projet'!$A$36&gt;35,N40+M41-V40,IF(A41&lt;'Données projet'!$A$36,$K$205^A41,IF(A41='Données projet'!$A$36,'Données projet'!$B$36,N40+M41-V40)))</f>
        <v>180.20000000000007</v>
      </c>
      <c r="O41" s="13">
        <f>N41*VLOOKUP('Données projet'!$B$9,Paramètres!$A$1:$I$89,3,0)*VLOOKUP('Données projet'!$B$9,Paramètres!$A$1:$I$89,5,0)</f>
        <v>132.12264000000005</v>
      </c>
      <c r="P41" s="13">
        <f t="shared" si="33"/>
        <v>34.486375824149725</v>
      </c>
      <c r="Q41" s="20">
        <f t="shared" si="53"/>
        <v>290.17736922706086</v>
      </c>
      <c r="R41" s="59">
        <f t="shared" si="0"/>
        <v>583.51070256039418</v>
      </c>
      <c r="S41" s="59">
        <f ca="1">AVERAGE(OFFSET($R$3,0,0,'Données projet'!$E$9+1,1))-AVERAGE(OFFSET($H$3,0,0,'Données projet'!$E$9+1,1))</f>
        <v>193.60868637458515</v>
      </c>
      <c r="T41" s="59">
        <f t="shared" si="34"/>
        <v>272.97841038165217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205.2</v>
      </c>
      <c r="AJ41" s="13">
        <f>AI41*VLOOKUP('Données projet'!$B$10,Paramètres!$A$1:$I$89,3,0)*VLOOKUP('Données projet'!$B$10,Paramètres!$A$1:$I$89,5,0)</f>
        <v>163.25712000000001</v>
      </c>
      <c r="AK41" s="13">
        <f t="shared" si="35"/>
        <v>41.576304038313076</v>
      </c>
      <c r="AL41" s="20">
        <f t="shared" si="4"/>
        <v>356.75154686672863</v>
      </c>
      <c r="AM41" s="59">
        <f t="shared" si="5"/>
        <v>650.08488020006189</v>
      </c>
      <c r="AN41" s="59">
        <f ca="1">AVERAGE(OFFSET($AM$3,0,0,'Données projet'!$E$10+1,1))-AVERAGE(OFFSET($H$3,0,0,'Données projet'!$E$10+1,1))</f>
        <v>281.79835088425858</v>
      </c>
      <c r="AO41" s="59">
        <f t="shared" si="36"/>
        <v>345.4750813433123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152.60000000000002</v>
      </c>
      <c r="BE41" s="13">
        <f>BD41*VLOOKUP('Données projet'!$B$11,Paramètres!$A$1:$I$89,3,0)*VLOOKUP('Données projet'!$B$11,Paramètres!$A$1:$I$89,5,0)</f>
        <v>138.07248000000001</v>
      </c>
      <c r="BF41" s="13">
        <f t="shared" si="37"/>
        <v>35.85508207677799</v>
      </c>
      <c r="BG41" s="20">
        <f t="shared" si="7"/>
        <v>302.9238372837217</v>
      </c>
      <c r="BH41" s="59">
        <f t="shared" si="8"/>
        <v>596.25717061705495</v>
      </c>
      <c r="BI41" s="59">
        <f ca="1">AVERAGE(OFFSET($BH$3,0,0,'Données projet'!$E$11+1,1))-AVERAGE(OFFSET($H$3,0,0,'Données projet'!$E$11+1,1))</f>
        <v>343.6089004382095</v>
      </c>
      <c r="BJ41" s="59">
        <f t="shared" si="38"/>
        <v>278.21741231699929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11.142857142857142</v>
      </c>
      <c r="BY41" s="12">
        <f>IF('Données projet'!$A$114&gt;35,BY40+BX41-CG40,IF(A41&lt;'Données projet'!$A$114,$BV$205^A41,IF(A41='Données projet'!$A$114,'Données projet'!$B$114,BY40+BX41-CG40)))</f>
        <v>163.14285714285708</v>
      </c>
      <c r="BZ41" s="13">
        <f>BY41*VLOOKUP('Données projet'!$B$12,Paramètres!$A$1:$I$89,3,0)*VLOOKUP('Données projet'!$B$12,Paramètres!$A$1:$I$89,5,0)</f>
        <v>127.25142857142853</v>
      </c>
      <c r="CA41" s="13">
        <f t="shared" si="39"/>
        <v>33.360457439554281</v>
      </c>
      <c r="CB41" s="20">
        <f t="shared" si="10"/>
        <v>279.73236813579501</v>
      </c>
      <c r="CC41" s="59">
        <f t="shared" si="11"/>
        <v>573.06570146912827</v>
      </c>
      <c r="CD41" s="59">
        <f ca="1">AVERAGE(OFFSET($CC$3,0,0,'Données projet'!$E$12+1,1))-AVERAGE(OFFSET($H$3,0,0,'Données projet'!$E$12+1,1))</f>
        <v>288.82868507674738</v>
      </c>
      <c r="CE41" s="59">
        <f t="shared" si="40"/>
        <v>283.48738729114024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2.51181951307173</v>
      </c>
      <c r="CM41" s="21">
        <f>EXP(-LN(2)/2)*CM40+(1-EXP(-LN(2)/2))/(LN(2)/2)*CG41*CJ41*VLOOKUP('Données projet'!$B$12,Paramètres!$A$1:$I$89,3,0)*0.475*44/12</f>
        <v>0.2043817147707864</v>
      </c>
      <c r="CN41" s="22">
        <f t="shared" si="12"/>
        <v>2.7162012278425163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10.6</v>
      </c>
      <c r="CT41" s="12">
        <f>IF('Données projet'!$A$140&gt;35,CT40+CS41-DB40,IF(A41&lt;'Données projet'!$A$140,$CQ$205^A41,IF(A41='Données projet'!$A$140,'Données projet'!$B$140,CT40+CS41-DB40)))</f>
        <v>142.79999999999998</v>
      </c>
      <c r="CU41" s="17">
        <f>CT41*VLOOKUP('Données projet'!$B$13,Paramètres!$A$1:$I$89,3,0)*VLOOKUP('Données projet'!$B$13,Paramètres!$A$1:$I$89,5,0)</f>
        <v>122.52239999999999</v>
      </c>
      <c r="CV41" s="13">
        <f t="shared" si="41"/>
        <v>32.26259352430629</v>
      </c>
      <c r="CW41" s="20">
        <f t="shared" si="13"/>
        <v>269.58386372150011</v>
      </c>
      <c r="CX41" s="59">
        <f t="shared" si="14"/>
        <v>562.91719705483342</v>
      </c>
      <c r="CY41" s="59">
        <f ca="1">AVERAGE(OFFSET($CX$3,0,0,'Données projet'!$E$13+1,1))-AVERAGE(OFFSET($H$3,0,0,'Données projet'!$E$13+1,1))</f>
        <v>273.73158910361786</v>
      </c>
      <c r="CZ41" s="59">
        <f t="shared" si="42"/>
        <v>256.77417912163997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22</v>
      </c>
      <c r="DO41" s="12">
        <f>IF('Données projet'!$A$166&gt;35,DO40+DN41-DW40,IF(A41&lt;'Données projet'!$A$166,$DL$205^A41,IF(A41='Données projet'!$A$166,'Données projet'!$B$166,DO40+DN41-DW40)))</f>
        <v>610</v>
      </c>
      <c r="DP41" s="17">
        <f>DO41*VLOOKUP('Données projet'!$B$14,Paramètres!$A$1:$I$89,3,0)*VLOOKUP('Données projet'!$B$14,Paramètres!$A$1:$I$89,5,0)</f>
        <v>340.99</v>
      </c>
      <c r="DQ41" s="13">
        <f t="shared" si="43"/>
        <v>79.704452064974646</v>
      </c>
      <c r="DR41" s="20">
        <f t="shared" si="16"/>
        <v>732.70950401316429</v>
      </c>
      <c r="DS41" s="59">
        <f t="shared" si="17"/>
        <v>1026.0428373464977</v>
      </c>
      <c r="DT41" s="59">
        <f ca="1">AVERAGE(OFFSET($DS$3,0,0,'Données projet'!$E$14+1,1))-AVERAGE(OFFSET($H$3,0,0,'Données projet'!$E$14+1,1))</f>
        <v>534.78683721545372</v>
      </c>
      <c r="DU41" s="59">
        <f t="shared" si="44"/>
        <v>710.59298755711075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4.6644538016502075</v>
      </c>
      <c r="EB41" s="21">
        <f>EXP(-LN(2)/25)*EB40+(1-EXP(-LN(2)/25))/(LN(2)/25)*Calculateur!DW41*Calculateur!DY41*VLOOKUP('Données projet'!$B$14,Paramètres!$A$1:$I$89,3,0)*0.475*44/12</f>
        <v>19.380340499281434</v>
      </c>
      <c r="EC41" s="21">
        <f>EXP(-LN(2)/2)*EC40+(1-EXP(-LN(2)/2))/(LN(2)/2)*DW41*DZ41*VLOOKUP('Données projet'!$B$14,Paramètres!$A$1:$I$89,3,0)*0.475*44/12</f>
        <v>0.73122925323031907</v>
      </c>
      <c r="ED41" s="22">
        <f t="shared" si="18"/>
        <v>24.776023554161959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13.4</v>
      </c>
      <c r="EJ41" s="12">
        <f>IF('Données projet'!$A$192&gt;35,EJ40+EI41-ER40,IF(A41&lt;'Données projet'!$A$192,$EG$205^A41,IF(A41='Données projet'!$A$192,'Données projet'!$B$192,EJ40+EI41-ER40)))</f>
        <v>180.20000000000007</v>
      </c>
      <c r="EK41" s="17">
        <f>EJ41*VLOOKUP('Données projet'!$B$15,Paramètres!$A$1:$I$89,3,0)*VLOOKUP('Données projet'!$B$15,Paramètres!$A$1:$I$89,5,0)</f>
        <v>157.42272000000008</v>
      </c>
      <c r="EL41" s="13">
        <f t="shared" si="45"/>
        <v>40.260654441499831</v>
      </c>
      <c r="EM41" s="20">
        <f t="shared" si="19"/>
        <v>344.29854381894569</v>
      </c>
      <c r="EN41" s="59">
        <f t="shared" si="20"/>
        <v>637.631877152279</v>
      </c>
      <c r="EO41" s="59">
        <f ca="1">AVERAGE(OFFSET($EN$3,0,0,'Données projet'!$E$15+1,1))-AVERAGE(OFFSET($H$3,0,0,'Données projet'!$E$15+1,1))</f>
        <v>255.2813753128475</v>
      </c>
      <c r="EP41" s="59">
        <f t="shared" si="46"/>
        <v>317.03005098025352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4.8143014678109033</v>
      </c>
      <c r="EW41" s="21">
        <f>EXP(-LN(2)/25)*EW40+(1-EXP(-LN(2)/25))/(LN(2)/25)*Calculateur!ER41*Calculateur!ET41*VLOOKUP('Données projet'!$B$15,Paramètres!$A$1:$I$89,3,0)*0.475*44/12</f>
        <v>14.127217249863948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18.941518717674853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13.4</v>
      </c>
      <c r="N42" s="13">
        <f>IF('Données projet'!$A$36&gt;35,N41+M42-V41,IF(A42&lt;'Données projet'!$A$36,$K$205^A42,IF(A42='Données projet'!$A$36,'Données projet'!$B$36,N41+M42-V41)))</f>
        <v>193.60000000000008</v>
      </c>
      <c r="O42" s="13">
        <f>N42*VLOOKUP('Données projet'!$B$9,Paramètres!$A$1:$I$89,3,0)*VLOOKUP('Données projet'!$B$9,Paramètres!$A$1:$I$89,5,0)</f>
        <v>141.94752000000005</v>
      </c>
      <c r="P42" s="13">
        <f t="shared" si="33"/>
        <v>36.74279562732665</v>
      </c>
      <c r="Q42" s="20">
        <f t="shared" si="53"/>
        <v>311.21896638426068</v>
      </c>
      <c r="R42" s="59">
        <f t="shared" si="0"/>
        <v>604.552299717594</v>
      </c>
      <c r="S42" s="59">
        <f ca="1">AVERAGE(OFFSET($R$3,0,0,'Données projet'!$E$9+1,1))-AVERAGE(OFFSET($H$3,0,0,'Données projet'!$E$9+1,1))</f>
        <v>193.60868637458515</v>
      </c>
      <c r="T42" s="59">
        <f t="shared" si="34"/>
        <v>272.97841038165217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216.6</v>
      </c>
      <c r="AJ42" s="13">
        <f>AI42*VLOOKUP('Données projet'!$B$10,Paramètres!$A$1:$I$89,3,0)*VLOOKUP('Données projet'!$B$10,Paramètres!$A$1:$I$89,5,0)</f>
        <v>172.32695999999999</v>
      </c>
      <c r="AK42" s="13">
        <f t="shared" si="35"/>
        <v>43.61077213808133</v>
      </c>
      <c r="AL42" s="20">
        <f t="shared" si="4"/>
        <v>376.09155014049156</v>
      </c>
      <c r="AM42" s="59">
        <f t="shared" si="5"/>
        <v>669.42488347382482</v>
      </c>
      <c r="AN42" s="59">
        <f ca="1">AVERAGE(OFFSET($AM$3,0,0,'Données projet'!$E$10+1,1))-AVERAGE(OFFSET($H$3,0,0,'Données projet'!$E$10+1,1))</f>
        <v>281.79835088425858</v>
      </c>
      <c r="AO42" s="59">
        <f t="shared" si="36"/>
        <v>345.4750813433123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163.80000000000001</v>
      </c>
      <c r="BE42" s="13">
        <f>BD42*VLOOKUP('Données projet'!$B$11,Paramètres!$A$1:$I$89,3,0)*VLOOKUP('Données projet'!$B$11,Paramètres!$A$1:$I$89,5,0)</f>
        <v>148.20624000000001</v>
      </c>
      <c r="BF42" s="13">
        <f t="shared" si="37"/>
        <v>38.170662245893794</v>
      </c>
      <c r="BG42" s="20">
        <f t="shared" si="7"/>
        <v>324.60643807826506</v>
      </c>
      <c r="BH42" s="59">
        <f t="shared" si="8"/>
        <v>617.93977141159837</v>
      </c>
      <c r="BI42" s="59">
        <f ca="1">AVERAGE(OFFSET($BH$3,0,0,'Données projet'!$E$11+1,1))-AVERAGE(OFFSET($H$3,0,0,'Données projet'!$E$11+1,1))</f>
        <v>343.6089004382095</v>
      </c>
      <c r="BJ42" s="59">
        <f t="shared" si="38"/>
        <v>278.21741231699929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11.142857142857142</v>
      </c>
      <c r="BY42" s="12">
        <f>IF('Données projet'!$A$114&gt;35,BY41+BX42-CG41,IF(A42&lt;'Données projet'!$A$114,$BV$205^A42,IF(A42='Données projet'!$A$114,'Données projet'!$B$114,BY41+BX42-CG41)))</f>
        <v>174.28571428571422</v>
      </c>
      <c r="BZ42" s="13">
        <f>BY42*VLOOKUP('Données projet'!$B$12,Paramètres!$A$1:$I$89,3,0)*VLOOKUP('Données projet'!$B$12,Paramètres!$A$1:$I$89,5,0)</f>
        <v>135.94285714285709</v>
      </c>
      <c r="CA42" s="13">
        <f t="shared" si="39"/>
        <v>35.365986273808367</v>
      </c>
      <c r="CB42" s="20">
        <f t="shared" si="10"/>
        <v>298.36290228402567</v>
      </c>
      <c r="CC42" s="59">
        <f t="shared" si="11"/>
        <v>591.69623561735898</v>
      </c>
      <c r="CD42" s="59">
        <f ca="1">AVERAGE(OFFSET($CC$3,0,0,'Données projet'!$E$12+1,1))-AVERAGE(OFFSET($H$3,0,0,'Données projet'!$E$12+1,1))</f>
        <v>288.82868507674738</v>
      </c>
      <c r="CE42" s="59">
        <f t="shared" si="40"/>
        <v>283.48738729114024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2.4431336763959361</v>
      </c>
      <c r="CM42" s="21">
        <f>EXP(-LN(2)/2)*CM41+(1-EXP(-LN(2)/2))/(LN(2)/2)*CG42*CJ42*VLOOKUP('Données projet'!$B$12,Paramètres!$A$1:$I$89,3,0)*0.475*44/12</f>
        <v>0.14451969646495783</v>
      </c>
      <c r="CN42" s="22">
        <f t="shared" si="12"/>
        <v>2.5876533728608941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10.6</v>
      </c>
      <c r="CT42" s="12">
        <f>IF('Données projet'!$A$140&gt;35,CT41+CS42-DB41,IF(A42&lt;'Données projet'!$A$140,$CQ$205^A42,IF(A42='Données projet'!$A$140,'Données projet'!$B$140,CT41+CS42-DB41)))</f>
        <v>153.39999999999998</v>
      </c>
      <c r="CU42" s="17">
        <f>CT42*VLOOKUP('Données projet'!$B$13,Paramètres!$A$1:$I$89,3,0)*VLOOKUP('Données projet'!$B$13,Paramètres!$A$1:$I$89,5,0)</f>
        <v>131.6172</v>
      </c>
      <c r="CV42" s="13">
        <f t="shared" si="41"/>
        <v>34.3697774617943</v>
      </c>
      <c r="CW42" s="20">
        <f t="shared" si="13"/>
        <v>289.09398574595843</v>
      </c>
      <c r="CX42" s="59">
        <f t="shared" si="14"/>
        <v>582.42731907929169</v>
      </c>
      <c r="CY42" s="59">
        <f ca="1">AVERAGE(OFFSET($CX$3,0,0,'Données projet'!$E$13+1,1))-AVERAGE(OFFSET($H$3,0,0,'Données projet'!$E$13+1,1))</f>
        <v>273.73158910361786</v>
      </c>
      <c r="CZ42" s="59">
        <f t="shared" si="42"/>
        <v>256.77417912163997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22</v>
      </c>
      <c r="DO42" s="12">
        <f>IF('Données projet'!$A$166&gt;35,DO41+DN42-DW41,IF(A42&lt;'Données projet'!$A$166,$DL$205^A42,IF(A42='Données projet'!$A$166,'Données projet'!$B$166,DO41+DN42-DW41)))</f>
        <v>632</v>
      </c>
      <c r="DP42" s="17">
        <f>DO42*VLOOKUP('Données projet'!$B$14,Paramètres!$A$1:$I$89,3,0)*VLOOKUP('Données projet'!$B$14,Paramètres!$A$1:$I$89,5,0)</f>
        <v>353.28800000000001</v>
      </c>
      <c r="DQ42" s="13">
        <f t="shared" si="43"/>
        <v>82.239175707062913</v>
      </c>
      <c r="DR42" s="20">
        <f t="shared" si="16"/>
        <v>758.54316435646797</v>
      </c>
      <c r="DS42" s="59">
        <f t="shared" si="17"/>
        <v>1051.8764976898012</v>
      </c>
      <c r="DT42" s="59">
        <f ca="1">AVERAGE(OFFSET($DS$3,0,0,'Données projet'!$E$14+1,1))-AVERAGE(OFFSET($H$3,0,0,'Données projet'!$E$14+1,1))</f>
        <v>534.78683721545372</v>
      </c>
      <c r="DU42" s="59">
        <f t="shared" si="44"/>
        <v>710.59298755711075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4.5729867076357422</v>
      </c>
      <c r="EB42" s="21">
        <f>EXP(-LN(2)/25)*EB41+(1-EXP(-LN(2)/25))/(LN(2)/25)*Calculateur!DW42*Calculateur!DY42*VLOOKUP('Données projet'!$B$14,Paramètres!$A$1:$I$89,3,0)*0.475*44/12</f>
        <v>18.850384069160771</v>
      </c>
      <c r="EC42" s="21">
        <f>EXP(-LN(2)/2)*EC41+(1-EXP(-LN(2)/2))/(LN(2)/2)*DW42*DZ42*VLOOKUP('Données projet'!$B$14,Paramètres!$A$1:$I$89,3,0)*0.475*44/12</f>
        <v>0.51705716356113385</v>
      </c>
      <c r="ED42" s="22">
        <f t="shared" si="18"/>
        <v>23.940427940357647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13.4</v>
      </c>
      <c r="EJ42" s="12">
        <f>IF('Données projet'!$A$192&gt;35,EJ41+EI42-ER41,IF(A42&lt;'Données projet'!$A$192,$EG$205^A42,IF(A42='Données projet'!$A$192,'Données projet'!$B$192,EJ41+EI42-ER41)))</f>
        <v>193.60000000000008</v>
      </c>
      <c r="EK42" s="17">
        <f>EJ42*VLOOKUP('Données projet'!$B$15,Paramètres!$A$1:$I$89,3,0)*VLOOKUP('Données projet'!$B$15,Paramètres!$A$1:$I$89,5,0)</f>
        <v>169.12896000000009</v>
      </c>
      <c r="EL42" s="13">
        <f t="shared" si="45"/>
        <v>42.894881315146776</v>
      </c>
      <c r="EM42" s="20">
        <f t="shared" si="19"/>
        <v>369.27485695721407</v>
      </c>
      <c r="EN42" s="59">
        <f t="shared" si="20"/>
        <v>662.60819029054733</v>
      </c>
      <c r="EO42" s="59">
        <f ca="1">AVERAGE(OFFSET($EN$3,0,0,'Données projet'!$E$15+1,1))-AVERAGE(OFFSET($H$3,0,0,'Données projet'!$E$15+1,1))</f>
        <v>255.2813753128475</v>
      </c>
      <c r="EP42" s="59">
        <f t="shared" si="46"/>
        <v>317.03005098025352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4.7198959524610782</v>
      </c>
      <c r="EW42" s="21">
        <f>EXP(-LN(2)/25)*EW41+(1-EXP(-LN(2)/25))/(LN(2)/25)*Calculateur!ER42*Calculateur!ET42*VLOOKUP('Données projet'!$B$15,Paramètres!$A$1:$I$89,3,0)*0.475*44/12</f>
        <v>13.740907751248351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18.460803703709431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207</v>
      </c>
      <c r="L43" s="12">
        <f>VLOOKUP(A43,'Données projet'!$A$35:$I$55,9,0)</f>
        <v>13.4</v>
      </c>
      <c r="M43" s="12">
        <f t="array" ref="M43">INDEX(L:L,MIN(IF(ISNUMBER(L43:L239),ROW(L43:L239),"")))</f>
        <v>13.4</v>
      </c>
      <c r="N43" s="13">
        <f>IF('Données projet'!$A$36&gt;35,N42+M43-V42,IF(A43&lt;'Données projet'!$A$36,$K$205^A43,IF(A43='Données projet'!$A$36,'Données projet'!$B$36,N42+M43-V42)))</f>
        <v>207.00000000000009</v>
      </c>
      <c r="O43" s="13">
        <f>N43*VLOOKUP('Données projet'!$B$9,Paramètres!$A$1:$I$89,3,0)*VLOOKUP('Données projet'!$B$9,Paramètres!$A$1:$I$89,5,0)</f>
        <v>151.77240000000006</v>
      </c>
      <c r="P43" s="13">
        <f t="shared" si="33"/>
        <v>38.981094100085443</v>
      </c>
      <c r="Q43" s="20">
        <f t="shared" si="53"/>
        <v>332.22900222431554</v>
      </c>
      <c r="R43" s="59">
        <f t="shared" si="0"/>
        <v>625.56233555764879</v>
      </c>
      <c r="S43" s="59">
        <f ca="1">AVERAGE(OFFSET($R$3,0,0,'Données projet'!$E$9+1,1))-AVERAGE(OFFSET($H$3,0,0,'Données projet'!$E$9+1,1))</f>
        <v>193.60868637458515</v>
      </c>
      <c r="T43" s="59">
        <f t="shared" si="34"/>
        <v>272.97841038165217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35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228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228</v>
      </c>
      <c r="AJ43" s="13">
        <f>AI43*VLOOKUP('Données projet'!$B$10,Paramètres!$A$1:$I$89,3,0)*VLOOKUP('Données projet'!$B$10,Paramètres!$A$1:$I$89,5,0)</f>
        <v>181.39680000000001</v>
      </c>
      <c r="AK43" s="13">
        <f t="shared" si="35"/>
        <v>45.63280848550832</v>
      </c>
      <c r="AL43" s="20">
        <f t="shared" si="4"/>
        <v>395.40990144559368</v>
      </c>
      <c r="AM43" s="59">
        <f t="shared" si="5"/>
        <v>688.74323477892699</v>
      </c>
      <c r="AN43" s="59">
        <f ca="1">AVERAGE(OFFSET($AM$3,0,0,'Données projet'!$E$10+1,1))-AVERAGE(OFFSET($H$3,0,0,'Données projet'!$E$10+1,1))</f>
        <v>281.79835088425858</v>
      </c>
      <c r="AO43" s="59">
        <f t="shared" si="36"/>
        <v>345.4750813433123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175</v>
      </c>
      <c r="BE43" s="13">
        <f>BD43*VLOOKUP('Données projet'!$B$11,Paramètres!$A$1:$I$89,3,0)*VLOOKUP('Données projet'!$B$11,Paramètres!$A$1:$I$89,5,0)</f>
        <v>158.34</v>
      </c>
      <c r="BF43" s="13">
        <f t="shared" si="37"/>
        <v>40.467870812652819</v>
      </c>
      <c r="BG43" s="20">
        <f t="shared" si="7"/>
        <v>346.25704166537031</v>
      </c>
      <c r="BH43" s="59">
        <f t="shared" si="8"/>
        <v>639.59037499870362</v>
      </c>
      <c r="BI43" s="59">
        <f ca="1">AVERAGE(OFFSET($BH$3,0,0,'Données projet'!$E$11+1,1))-AVERAGE(OFFSET($H$3,0,0,'Données projet'!$E$11+1,1))</f>
        <v>343.6089004382095</v>
      </c>
      <c r="BJ43" s="59">
        <f t="shared" si="38"/>
        <v>278.21741231699929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11.142857142857142</v>
      </c>
      <c r="BY43" s="12">
        <f>IF('Données projet'!$A$114&gt;35,BY42+BX43-CG42,IF(A43&lt;'Données projet'!$A$114,$BV$205^A43,IF(A43='Données projet'!$A$114,'Données projet'!$B$114,BY42+BX43-CG42)))</f>
        <v>185.42857142857136</v>
      </c>
      <c r="BZ43" s="13">
        <f>BY43*VLOOKUP('Données projet'!$B$12,Paramètres!$A$1:$I$89,3,0)*VLOOKUP('Données projet'!$B$12,Paramètres!$A$1:$I$89,5,0)</f>
        <v>144.63428571428565</v>
      </c>
      <c r="CA43" s="13">
        <f t="shared" si="39"/>
        <v>37.356634728420524</v>
      </c>
      <c r="CB43" s="20">
        <f t="shared" si="10"/>
        <v>316.96751977104657</v>
      </c>
      <c r="CC43" s="59">
        <f t="shared" si="11"/>
        <v>610.30085310437994</v>
      </c>
      <c r="CD43" s="59">
        <f ca="1">AVERAGE(OFFSET($CC$3,0,0,'Données projet'!$E$12+1,1))-AVERAGE(OFFSET($H$3,0,0,'Données projet'!$E$12+1,1))</f>
        <v>288.82868507674738</v>
      </c>
      <c r="CE43" s="59">
        <f t="shared" si="40"/>
        <v>283.48738729114024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2.376326057536073</v>
      </c>
      <c r="CM43" s="21">
        <f>EXP(-LN(2)/2)*CM42+(1-EXP(-LN(2)/2))/(LN(2)/2)*CG43*CJ43*VLOOKUP('Données projet'!$B$12,Paramètres!$A$1:$I$89,3,0)*0.475*44/12</f>
        <v>0.1021908573853932</v>
      </c>
      <c r="CN43" s="22">
        <f t="shared" si="12"/>
        <v>2.4785169149214661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164</v>
      </c>
      <c r="CR43" s="12">
        <f>VLOOKUP(A43,'Données projet'!$A$139:$I$159,9,0)</f>
        <v>10.6</v>
      </c>
      <c r="CS43" s="12">
        <f t="array" ref="CS43">INDEX(CR:CR,MIN(IF(ISNUMBER(CR43:CR239),ROW(CR43:CR239),"")))</f>
        <v>10.6</v>
      </c>
      <c r="CT43" s="12">
        <f>IF('Données projet'!$A$140&gt;35,CT42+CS43-DB42,IF(A43&lt;'Données projet'!$A$140,$CQ$205^A43,IF(A43='Données projet'!$A$140,'Données projet'!$B$140,CT42+CS43-DB42)))</f>
        <v>163.99999999999997</v>
      </c>
      <c r="CU43" s="17">
        <f>CT43*VLOOKUP('Données projet'!$B$13,Paramètres!$A$1:$I$89,3,0)*VLOOKUP('Données projet'!$B$13,Paramètres!$A$1:$I$89,5,0)</f>
        <v>140.71199999999999</v>
      </c>
      <c r="CV43" s="13">
        <f t="shared" si="41"/>
        <v>36.46006650944075</v>
      </c>
      <c r="CW43" s="20">
        <f t="shared" si="13"/>
        <v>308.5746825039426</v>
      </c>
      <c r="CX43" s="59">
        <f t="shared" si="14"/>
        <v>601.90801583727591</v>
      </c>
      <c r="CY43" s="59">
        <f ca="1">AVERAGE(OFFSET($CX$3,0,0,'Données projet'!$E$13+1,1))-AVERAGE(OFFSET($H$3,0,0,'Données projet'!$E$13+1,1))</f>
        <v>273.73158910361786</v>
      </c>
      <c r="CZ43" s="59">
        <f t="shared" si="42"/>
        <v>256.77417912163997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654</v>
      </c>
      <c r="DM43" s="12">
        <f>VLOOKUP(A43,'Données projet'!$A$165:$I$185,9,0)</f>
        <v>22</v>
      </c>
      <c r="DN43" s="12">
        <f t="array" ref="DN43">INDEX(DM:DM,MIN(IF(ISNUMBER(DM43:DM239),ROW(DM43:DM239),"")))</f>
        <v>22</v>
      </c>
      <c r="DO43" s="12">
        <f>IF('Données projet'!$A$166&gt;35,DO42+DN43-DW42,IF(A43&lt;'Données projet'!$A$166,$DL$205^A43,IF(A43='Données projet'!$A$166,'Données projet'!$B$166,DO42+DN43-DW42)))</f>
        <v>654</v>
      </c>
      <c r="DP43" s="17">
        <f>DO43*VLOOKUP('Données projet'!$B$14,Paramètres!$A$1:$I$89,3,0)*VLOOKUP('Données projet'!$B$14,Paramètres!$A$1:$I$89,5,0)</f>
        <v>365.58599999999996</v>
      </c>
      <c r="DQ43" s="13">
        <f t="shared" si="43"/>
        <v>84.763647497813551</v>
      </c>
      <c r="DR43" s="20">
        <f t="shared" si="16"/>
        <v>784.35896939202519</v>
      </c>
      <c r="DS43" s="59">
        <f t="shared" si="17"/>
        <v>1077.6923027253586</v>
      </c>
      <c r="DT43" s="59">
        <f ca="1">AVERAGE(OFFSET($DS$3,0,0,'Données projet'!$E$14+1,1))-AVERAGE(OFFSET($H$3,0,0,'Données projet'!$E$14+1,1))</f>
        <v>534.78683721545372</v>
      </c>
      <c r="DU43" s="59">
        <f t="shared" si="44"/>
        <v>710.59298755711075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79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4.4833132275454819</v>
      </c>
      <c r="EB43" s="21">
        <f>EXP(-LN(2)/25)*EB42+(1-EXP(-LN(2)/25))/(LN(2)/25)*Calculateur!DW43*Calculateur!DY43*VLOOKUP('Données projet'!$B$14,Paramètres!$A$1:$I$89,3,0)*0.475*44/12</f>
        <v>18.334919325490954</v>
      </c>
      <c r="EC43" s="21">
        <f>EXP(-LN(2)/2)*EC42+(1-EXP(-LN(2)/2))/(LN(2)/2)*DW43*DZ43*VLOOKUP('Données projet'!$B$14,Paramètres!$A$1:$I$89,3,0)*0.475*44/12</f>
        <v>0.36561462661515959</v>
      </c>
      <c r="ED43" s="22">
        <f t="shared" si="18"/>
        <v>23.183847179651597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207</v>
      </c>
      <c r="EH43" s="12">
        <f>VLOOKUP(A43,'Données projet'!$A$191:$I$211,9,0)</f>
        <v>13.4</v>
      </c>
      <c r="EI43" s="12">
        <f t="array" ref="EI43">INDEX(EH:EH,MIN(IF(ISNUMBER(EH43:EH239),ROW(EH43:EH239),"")))</f>
        <v>13.4</v>
      </c>
      <c r="EJ43" s="12">
        <f>IF('Données projet'!$A$192&gt;35,EJ42+EI43-ER42,IF(A43&lt;'Données projet'!$A$192,$EG$205^A43,IF(A43='Données projet'!$A$192,'Données projet'!$B$192,EJ42+EI43-ER42)))</f>
        <v>207.00000000000009</v>
      </c>
      <c r="EK43" s="17">
        <f>EJ43*VLOOKUP('Données projet'!$B$15,Paramètres!$A$1:$I$89,3,0)*VLOOKUP('Données projet'!$B$15,Paramètres!$A$1:$I$89,5,0)</f>
        <v>180.8352000000001</v>
      </c>
      <c r="EL43" s="13">
        <f t="shared" si="45"/>
        <v>45.507952685945142</v>
      </c>
      <c r="EM43" s="20">
        <f t="shared" si="19"/>
        <v>394.21432426135465</v>
      </c>
      <c r="EN43" s="59">
        <f t="shared" si="20"/>
        <v>687.54765759468796</v>
      </c>
      <c r="EO43" s="59">
        <f ca="1">AVERAGE(OFFSET($EN$3,0,0,'Données projet'!$E$15+1,1))-AVERAGE(OFFSET($H$3,0,0,'Données projet'!$E$15+1,1))</f>
        <v>255.2813753128475</v>
      </c>
      <c r="EP43" s="59">
        <f t="shared" si="46"/>
        <v>317.03005098025352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4.627341671685584</v>
      </c>
      <c r="EW43" s="21">
        <f>EXP(-LN(2)/25)*EW42+(1-EXP(-LN(2)/25))/(LN(2)/25)*Calculateur!ER43*Calculateur!ET43*VLOOKUP('Données projet'!$B$15,Paramètres!$A$1:$I$89,3,0)*0.475*44/12</f>
        <v>13.365161906187531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17.992503577873116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</v>
      </c>
      <c r="N44" s="13">
        <f>IF('Données projet'!$A$36&gt;35,N43+M44-V43,IF(A44&lt;'Données projet'!$A$36,$K$205^A44,IF(A44='Données projet'!$A$36,'Données projet'!$B$36,N43+M44-V43)))</f>
        <v>185.8000000000001</v>
      </c>
      <c r="O44" s="13">
        <f>N44*VLOOKUP('Données projet'!$B$9,Paramètres!$A$1:$I$89,3,0)*VLOOKUP('Données projet'!$B$9,Paramètres!$A$1:$I$89,5,0)</f>
        <v>136.22856000000007</v>
      </c>
      <c r="P44" s="13">
        <f t="shared" si="33"/>
        <v>35.431653185018021</v>
      </c>
      <c r="Q44" s="20">
        <f t="shared" si="53"/>
        <v>298.97487129723987</v>
      </c>
      <c r="R44" s="59">
        <f t="shared" si="0"/>
        <v>592.30820463057319</v>
      </c>
      <c r="S44" s="59">
        <f ca="1">AVERAGE(OFFSET($R$3,0,0,'Données projet'!$E$9+1,1))-AVERAGE(OFFSET($H$3,0,0,'Données projet'!$E$9+1,1))</f>
        <v>193.60868637458515</v>
      </c>
      <c r="T44" s="59">
        <f t="shared" si="34"/>
        <v>272.97841038165217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9.4</v>
      </c>
      <c r="AI44" s="13">
        <f>IF('Données projet'!$A$62&gt;35,AI43+AH44-AQ43,IF(A44&lt;'Données projet'!$A$62,$AF$205^A44,IF(A44='Données projet'!$A$62,'Données projet'!$B$62,AI43+AH44-AQ43)))</f>
        <v>202.4</v>
      </c>
      <c r="AJ44" s="13">
        <f>AI44*VLOOKUP('Données projet'!$B$10,Paramètres!$A$1:$I$89,3,0)*VLOOKUP('Données projet'!$B$10,Paramètres!$A$1:$I$89,5,0)</f>
        <v>161.02944000000002</v>
      </c>
      <c r="AK44" s="13">
        <f t="shared" si="35"/>
        <v>41.074621732940685</v>
      </c>
      <c r="AL44" s="20">
        <f t="shared" si="4"/>
        <v>351.99790751820501</v>
      </c>
      <c r="AM44" s="59">
        <f t="shared" si="5"/>
        <v>645.33124085153827</v>
      </c>
      <c r="AN44" s="59">
        <f ca="1">AVERAGE(OFFSET($AM$3,0,0,'Données projet'!$E$10+1,1))-AVERAGE(OFFSET($H$3,0,0,'Données projet'!$E$10+1,1))</f>
        <v>281.79835088425858</v>
      </c>
      <c r="AO44" s="59">
        <f t="shared" si="36"/>
        <v>345.4750813433123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158.4</v>
      </c>
      <c r="BE44" s="13">
        <f>BD44*VLOOKUP('Données projet'!$B$11,Paramètres!$A$1:$I$89,3,0)*VLOOKUP('Données projet'!$B$11,Paramètres!$A$1:$I$89,5,0)</f>
        <v>143.32032000000001</v>
      </c>
      <c r="BF44" s="13">
        <f t="shared" si="37"/>
        <v>37.056603420232349</v>
      </c>
      <c r="BG44" s="20">
        <f t="shared" si="7"/>
        <v>314.15647495690467</v>
      </c>
      <c r="BH44" s="59">
        <f t="shared" si="8"/>
        <v>607.48980829023799</v>
      </c>
      <c r="BI44" s="59">
        <f ca="1">AVERAGE(OFFSET($BH$3,0,0,'Données projet'!$E$11+1,1))-AVERAGE(OFFSET($H$3,0,0,'Données projet'!$E$11+1,1))</f>
        <v>343.6089004382095</v>
      </c>
      <c r="BJ44" s="59">
        <f t="shared" si="38"/>
        <v>278.21741231699929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11.142857142857142</v>
      </c>
      <c r="BY44" s="12">
        <f>IF('Données projet'!$A$114&gt;35,BY43+BX44-CG43,IF(A44&lt;'Données projet'!$A$114,$BV$205^A44,IF(A44='Données projet'!$A$114,'Données projet'!$B$114,BY43+BX44-CG43)))</f>
        <v>196.5714285714285</v>
      </c>
      <c r="BZ44" s="13">
        <f>BY44*VLOOKUP('Données projet'!$B$12,Paramètres!$A$1:$I$89,3,0)*VLOOKUP('Données projet'!$B$12,Paramètres!$A$1:$I$89,5,0)</f>
        <v>153.32571428571424</v>
      </c>
      <c r="CA44" s="13">
        <f t="shared" si="39"/>
        <v>39.333398837614155</v>
      </c>
      <c r="CB44" s="20">
        <f t="shared" si="10"/>
        <v>335.5479553564636</v>
      </c>
      <c r="CC44" s="59">
        <f t="shared" si="11"/>
        <v>628.88128868979697</v>
      </c>
      <c r="CD44" s="59">
        <f ca="1">AVERAGE(OFFSET($CC$3,0,0,'Données projet'!$E$12+1,1))-AVERAGE(OFFSET($H$3,0,0,'Données projet'!$E$12+1,1))</f>
        <v>288.82868507674738</v>
      </c>
      <c r="CE44" s="59">
        <f t="shared" si="40"/>
        <v>283.48738729114024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2.3113452965271928</v>
      </c>
      <c r="CM44" s="21">
        <f>EXP(-LN(2)/2)*CM43+(1-EXP(-LN(2)/2))/(LN(2)/2)*CG44*CJ44*VLOOKUP('Données projet'!$B$12,Paramètres!$A$1:$I$89,3,0)*0.475*44/12</f>
        <v>7.2259848232478913E-2</v>
      </c>
      <c r="CN44" s="22">
        <f t="shared" si="12"/>
        <v>2.3836051447596716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10.8</v>
      </c>
      <c r="CT44" s="12">
        <f>IF('Données projet'!$A$140&gt;35,CT43+CS44-DB43,IF(A44&lt;'Données projet'!$A$140,$CQ$205^A44,IF(A44='Données projet'!$A$140,'Données projet'!$B$140,CT43+CS44-DB43)))</f>
        <v>146.79999999999998</v>
      </c>
      <c r="CU44" s="17">
        <f>CT44*VLOOKUP('Données projet'!$B$13,Paramètres!$A$1:$I$89,3,0)*VLOOKUP('Données projet'!$B$13,Paramètres!$A$1:$I$89,5,0)</f>
        <v>125.95439999999999</v>
      </c>
      <c r="CV44" s="13">
        <f t="shared" si="41"/>
        <v>33.059826887154777</v>
      </c>
      <c r="CW44" s="20">
        <f t="shared" si="13"/>
        <v>276.94977849512787</v>
      </c>
      <c r="CX44" s="59">
        <f t="shared" si="14"/>
        <v>570.28311182846119</v>
      </c>
      <c r="CY44" s="59">
        <f ca="1">AVERAGE(OFFSET($CX$3,0,0,'Données projet'!$E$13+1,1))-AVERAGE(OFFSET($H$3,0,0,'Données projet'!$E$13+1,1))</f>
        <v>273.73158910361786</v>
      </c>
      <c r="CZ44" s="59">
        <f t="shared" si="42"/>
        <v>256.77417912163997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20.399999999999999</v>
      </c>
      <c r="DO44" s="12">
        <f>IF('Données projet'!$A$166&gt;35,DO43+DN44-DW43,IF(A44&lt;'Données projet'!$A$166,$DL$205^A44,IF(A44='Données projet'!$A$166,'Données projet'!$B$166,DO43+DN44-DW43)))</f>
        <v>595.4</v>
      </c>
      <c r="DP44" s="17">
        <f>DO44*VLOOKUP('Données projet'!$B$14,Paramètres!$A$1:$I$89,3,0)*VLOOKUP('Données projet'!$B$14,Paramètres!$A$1:$I$89,5,0)</f>
        <v>332.82859999999999</v>
      </c>
      <c r="DQ44" s="13">
        <f t="shared" si="43"/>
        <v>78.016456494733006</v>
      </c>
      <c r="DR44" s="20">
        <f t="shared" si="16"/>
        <v>715.55514006165993</v>
      </c>
      <c r="DS44" s="59">
        <f t="shared" si="17"/>
        <v>1008.8884733949933</v>
      </c>
      <c r="DT44" s="59">
        <f ca="1">AVERAGE(OFFSET($DS$3,0,0,'Données projet'!$E$14+1,1))-AVERAGE(OFFSET($H$3,0,0,'Données projet'!$E$14+1,1))</f>
        <v>534.78683721545372</v>
      </c>
      <c r="DU44" s="59">
        <f t="shared" si="44"/>
        <v>710.59298755711075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4.3953981897043697</v>
      </c>
      <c r="EB44" s="21">
        <f>EXP(-LN(2)/25)*EB43+(1-EXP(-LN(2)/25))/(LN(2)/25)*Calculateur!DW44*Calculateur!DY44*VLOOKUP('Données projet'!$B$14,Paramètres!$A$1:$I$89,3,0)*0.475*44/12</f>
        <v>17.833549992343901</v>
      </c>
      <c r="EC44" s="21">
        <f>EXP(-LN(2)/2)*EC43+(1-EXP(-LN(2)/2))/(LN(2)/2)*DW44*DZ44*VLOOKUP('Données projet'!$B$14,Paramètres!$A$1:$I$89,3,0)*0.475*44/12</f>
        <v>0.25852858178056692</v>
      </c>
      <c r="ED44" s="22">
        <f t="shared" si="18"/>
        <v>22.487476763828838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13.8</v>
      </c>
      <c r="EJ44" s="12">
        <f>IF('Données projet'!$A$192&gt;35,EJ43+EI44-ER43,IF(A44&lt;'Données projet'!$A$192,$EG$205^A44,IF(A44='Données projet'!$A$192,'Données projet'!$B$192,EJ43+EI44-ER43)))</f>
        <v>185.8000000000001</v>
      </c>
      <c r="EK44" s="17">
        <f>EJ44*VLOOKUP('Données projet'!$B$15,Paramètres!$A$1:$I$89,3,0)*VLOOKUP('Données projet'!$B$15,Paramètres!$A$1:$I$89,5,0)</f>
        <v>162.3148800000001</v>
      </c>
      <c r="EL44" s="13">
        <f t="shared" si="45"/>
        <v>41.364205750322554</v>
      </c>
      <c r="EM44" s="20">
        <f t="shared" si="19"/>
        <v>354.74107434847861</v>
      </c>
      <c r="EN44" s="59">
        <f t="shared" si="20"/>
        <v>648.07440768181186</v>
      </c>
      <c r="EO44" s="59">
        <f ca="1">AVERAGE(OFFSET($EN$3,0,0,'Données projet'!$E$15+1,1))-AVERAGE(OFFSET($H$3,0,0,'Données projet'!$E$15+1,1))</f>
        <v>255.2813753128475</v>
      </c>
      <c r="EP44" s="59">
        <f t="shared" si="46"/>
        <v>317.03005098025352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4.5366023239035602</v>
      </c>
      <c r="EW44" s="21">
        <f>EXP(-LN(2)/25)*EW43+(1-EXP(-LN(2)/25))/(LN(2)/25)*Calculateur!ER44*Calculateur!ET44*VLOOKUP('Données projet'!$B$15,Paramètres!$A$1:$I$89,3,0)*0.475*44/12</f>
        <v>12.999690851019515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17.536293174923074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13.8</v>
      </c>
      <c r="N45" s="13">
        <f>IF('Données projet'!$A$36&gt;35,N44+M45-V44,IF(A45&lt;'Données projet'!$A$36,$K$205^A45,IF(A45='Données projet'!$A$36,'Données projet'!$B$36,N44+M45-V44)))</f>
        <v>199.60000000000011</v>
      </c>
      <c r="O45" s="13">
        <f>N45*VLOOKUP('Données projet'!$B$9,Paramètres!$A$1:$I$89,3,0)*VLOOKUP('Données projet'!$B$9,Paramètres!$A$1:$I$89,5,0)</f>
        <v>146.34672000000006</v>
      </c>
      <c r="P45" s="13">
        <f t="shared" si="33"/>
        <v>37.747177010522961</v>
      </c>
      <c r="Q45" s="20">
        <f t="shared" si="53"/>
        <v>320.63020395999428</v>
      </c>
      <c r="R45" s="59">
        <f t="shared" si="0"/>
        <v>613.96353729332759</v>
      </c>
      <c r="S45" s="59">
        <f ca="1">AVERAGE(OFFSET($R$3,0,0,'Données projet'!$E$9+1,1))-AVERAGE(OFFSET($H$3,0,0,'Données projet'!$E$9+1,1))</f>
        <v>193.60868637458515</v>
      </c>
      <c r="T45" s="59">
        <f t="shared" si="34"/>
        <v>272.97841038165217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9.4</v>
      </c>
      <c r="AI45" s="13">
        <f>IF('Données projet'!$A$62&gt;35,AI44+AH45-AQ44,IF(A45&lt;'Données projet'!$A$62,$AF$205^A45,IF(A45='Données projet'!$A$62,'Données projet'!$B$62,AI44+AH45-AQ44)))</f>
        <v>211.8</v>
      </c>
      <c r="AJ45" s="13">
        <f>AI45*VLOOKUP('Données projet'!$B$10,Paramètres!$A$1:$I$89,3,0)*VLOOKUP('Données projet'!$B$10,Paramètres!$A$1:$I$89,5,0)</f>
        <v>168.50808000000001</v>
      </c>
      <c r="AK45" s="13">
        <f t="shared" si="35"/>
        <v>42.755711908378153</v>
      </c>
      <c r="AL45" s="20">
        <f t="shared" si="4"/>
        <v>367.95110424042531</v>
      </c>
      <c r="AM45" s="59">
        <f t="shared" si="5"/>
        <v>661.28443757375862</v>
      </c>
      <c r="AN45" s="59">
        <f ca="1">AVERAGE(OFFSET($AM$3,0,0,'Données projet'!$E$10+1,1))-AVERAGE(OFFSET($H$3,0,0,'Données projet'!$E$10+1,1))</f>
        <v>281.79835088425858</v>
      </c>
      <c r="AO45" s="59">
        <f t="shared" si="36"/>
        <v>345.4750813433123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169.8</v>
      </c>
      <c r="BE45" s="13">
        <f>BD45*VLOOKUP('Données projet'!$B$11,Paramètres!$A$1:$I$89,3,0)*VLOOKUP('Données projet'!$B$11,Paramètres!$A$1:$I$89,5,0)</f>
        <v>153.63504</v>
      </c>
      <c r="BF45" s="13">
        <f t="shared" si="37"/>
        <v>39.403506785222667</v>
      </c>
      <c r="BG45" s="20">
        <f t="shared" si="7"/>
        <v>336.20880231759617</v>
      </c>
      <c r="BH45" s="59">
        <f t="shared" si="8"/>
        <v>629.54213565092948</v>
      </c>
      <c r="BI45" s="59">
        <f ca="1">AVERAGE(OFFSET($BH$3,0,0,'Données projet'!$E$11+1,1))-AVERAGE(OFFSET($H$3,0,0,'Données projet'!$E$11+1,1))</f>
        <v>343.6089004382095</v>
      </c>
      <c r="BJ45" s="59">
        <f t="shared" si="38"/>
        <v>278.21741231699929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11.142857142857142</v>
      </c>
      <c r="BY45" s="12">
        <f>IF('Données projet'!$A$114&gt;35,BY44+BX45-CG44,IF(A45&lt;'Données projet'!$A$114,$BV$205^A45,IF(A45='Données projet'!$A$114,'Données projet'!$B$114,BY44+BX45-CG44)))</f>
        <v>207.71428571428564</v>
      </c>
      <c r="BZ45" s="13">
        <f>BY45*VLOOKUP('Données projet'!$B$12,Paramètres!$A$1:$I$89,3,0)*VLOOKUP('Données projet'!$B$12,Paramètres!$A$1:$I$89,5,0)</f>
        <v>162.0171428571428</v>
      </c>
      <c r="CA45" s="13">
        <f t="shared" si="39"/>
        <v>41.29715533509664</v>
      </c>
      <c r="CB45" s="20">
        <f t="shared" si="10"/>
        <v>354.10573601815037</v>
      </c>
      <c r="CC45" s="59">
        <f t="shared" si="11"/>
        <v>647.43906935148368</v>
      </c>
      <c r="CD45" s="59">
        <f ca="1">AVERAGE(OFFSET($CC$3,0,0,'Données projet'!$E$12+1,1))-AVERAGE(OFFSET($H$3,0,0,'Données projet'!$E$12+1,1))</f>
        <v>288.82868507674738</v>
      </c>
      <c r="CE45" s="59">
        <f t="shared" si="40"/>
        <v>283.48738729114024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2.2481414378452902</v>
      </c>
      <c r="CM45" s="21">
        <f>EXP(-LN(2)/2)*CM44+(1-EXP(-LN(2)/2))/(LN(2)/2)*CG45*CJ45*VLOOKUP('Données projet'!$B$12,Paramètres!$A$1:$I$89,3,0)*0.475*44/12</f>
        <v>5.10954286926966E-2</v>
      </c>
      <c r="CN45" s="22">
        <f t="shared" si="12"/>
        <v>2.2992368665379868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10.8</v>
      </c>
      <c r="CT45" s="12">
        <f>IF('Données projet'!$A$140&gt;35,CT44+CS45-DB44,IF(A45&lt;'Données projet'!$A$140,$CQ$205^A45,IF(A45='Données projet'!$A$140,'Données projet'!$B$140,CT44+CS45-DB44)))</f>
        <v>157.6</v>
      </c>
      <c r="CU45" s="17">
        <f>CT45*VLOOKUP('Données projet'!$B$13,Paramètres!$A$1:$I$89,3,0)*VLOOKUP('Données projet'!$B$13,Paramètres!$A$1:$I$89,5,0)</f>
        <v>135.22080000000003</v>
      </c>
      <c r="CV45" s="13">
        <f t="shared" si="41"/>
        <v>35.199954520451826</v>
      </c>
      <c r="CW45" s="20">
        <f t="shared" si="13"/>
        <v>296.81614745645362</v>
      </c>
      <c r="CX45" s="59">
        <f t="shared" si="14"/>
        <v>590.14948078978694</v>
      </c>
      <c r="CY45" s="59">
        <f ca="1">AVERAGE(OFFSET($CX$3,0,0,'Données projet'!$E$13+1,1))-AVERAGE(OFFSET($H$3,0,0,'Données projet'!$E$13+1,1))</f>
        <v>273.73158910361786</v>
      </c>
      <c r="CZ45" s="59">
        <f t="shared" si="42"/>
        <v>256.77417912163997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20.399999999999999</v>
      </c>
      <c r="DO45" s="12">
        <f>IF('Données projet'!$A$166&gt;35,DO44+DN45-DW44,IF(A45&lt;'Données projet'!$A$166,$DL$205^A45,IF(A45='Données projet'!$A$166,'Données projet'!$B$166,DO44+DN45-DW44)))</f>
        <v>615.79999999999995</v>
      </c>
      <c r="DP45" s="17">
        <f>DO45*VLOOKUP('Données projet'!$B$14,Paramètres!$A$1:$I$89,3,0)*VLOOKUP('Données projet'!$B$14,Paramètres!$A$1:$I$89,5,0)</f>
        <v>344.23219999999998</v>
      </c>
      <c r="DQ45" s="13">
        <f t="shared" si="43"/>
        <v>80.373715191199906</v>
      </c>
      <c r="DR45" s="20">
        <f t="shared" si="16"/>
        <v>739.52196895800637</v>
      </c>
      <c r="DS45" s="59">
        <f t="shared" si="17"/>
        <v>1032.8553022913397</v>
      </c>
      <c r="DT45" s="59">
        <f ca="1">AVERAGE(OFFSET($DS$3,0,0,'Données projet'!$E$14+1,1))-AVERAGE(OFFSET($H$3,0,0,'Données projet'!$E$14+1,1))</f>
        <v>534.78683721545372</v>
      </c>
      <c r="DU45" s="59">
        <f t="shared" si="44"/>
        <v>710.59298755711075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4.3092071121324427</v>
      </c>
      <c r="EB45" s="21">
        <f>EXP(-LN(2)/25)*EB44+(1-EXP(-LN(2)/25))/(LN(2)/25)*Calculateur!DW45*Calculateur!DY45*VLOOKUP('Données projet'!$B$14,Paramètres!$A$1:$I$89,3,0)*0.475*44/12</f>
        <v>17.345890629977621</v>
      </c>
      <c r="EC45" s="21">
        <f>EXP(-LN(2)/2)*EC44+(1-EXP(-LN(2)/2))/(LN(2)/2)*DW45*DZ45*VLOOKUP('Données projet'!$B$14,Paramètres!$A$1:$I$89,3,0)*0.475*44/12</f>
        <v>0.18280731330757979</v>
      </c>
      <c r="ED45" s="22">
        <f t="shared" si="18"/>
        <v>21.837905055417647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13.8</v>
      </c>
      <c r="EJ45" s="12">
        <f>IF('Données projet'!$A$192&gt;35,EJ44+EI45-ER44,IF(A45&lt;'Données projet'!$A$192,$EG$205^A45,IF(A45='Données projet'!$A$192,'Données projet'!$B$192,EJ44+EI45-ER44)))</f>
        <v>199.60000000000011</v>
      </c>
      <c r="EK45" s="17">
        <f>EJ45*VLOOKUP('Données projet'!$B$15,Paramètres!$A$1:$I$89,3,0)*VLOOKUP('Données projet'!$B$15,Paramètres!$A$1:$I$89,5,0)</f>
        <v>174.3705600000001</v>
      </c>
      <c r="EL45" s="13">
        <f t="shared" si="45"/>
        <v>44.067432817877503</v>
      </c>
      <c r="EM45" s="20">
        <f t="shared" si="19"/>
        <v>380.44617082447013</v>
      </c>
      <c r="EN45" s="59">
        <f t="shared" si="20"/>
        <v>673.77950415780344</v>
      </c>
      <c r="EO45" s="59">
        <f ca="1">AVERAGE(OFFSET($EN$3,0,0,'Données projet'!$E$15+1,1))-AVERAGE(OFFSET($H$3,0,0,'Données projet'!$E$15+1,1))</f>
        <v>255.2813753128475</v>
      </c>
      <c r="EP45" s="59">
        <f t="shared" si="46"/>
        <v>317.03005098025352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4.4476423193860048</v>
      </c>
      <c r="EW45" s="21">
        <f>EXP(-LN(2)/25)*EW44+(1-EXP(-LN(2)/25))/(LN(2)/25)*Calculateur!ER45*Calculateur!ET45*VLOOKUP('Données projet'!$B$15,Paramètres!$A$1:$I$89,3,0)*0.475*44/12</f>
        <v>12.644213621074357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17.091855940460363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13.8</v>
      </c>
      <c r="N46" s="13">
        <f>IF('Données projet'!$A$36&gt;35,N45+M46-V45,IF(A46&lt;'Données projet'!$A$36,$K$205^A46,IF(A46='Données projet'!$A$36,'Données projet'!$B$36,N45+M46-V45)))</f>
        <v>213.40000000000012</v>
      </c>
      <c r="O46" s="13">
        <f>N46*VLOOKUP('Données projet'!$B$9,Paramètres!$A$1:$I$89,3,0)*VLOOKUP('Données projet'!$B$9,Paramètres!$A$1:$I$89,5,0)</f>
        <v>156.46488000000008</v>
      </c>
      <c r="P46" s="13">
        <f t="shared" si="33"/>
        <v>40.044125372544926</v>
      </c>
      <c r="Q46" s="20">
        <f t="shared" si="53"/>
        <v>342.25318435718253</v>
      </c>
      <c r="R46" s="59">
        <f t="shared" si="0"/>
        <v>635.58651769051585</v>
      </c>
      <c r="S46" s="59">
        <f ca="1">AVERAGE(OFFSET($R$3,0,0,'Données projet'!$E$9+1,1))-AVERAGE(OFFSET($H$3,0,0,'Données projet'!$E$9+1,1))</f>
        <v>193.60868637458515</v>
      </c>
      <c r="T46" s="59">
        <f t="shared" si="34"/>
        <v>272.97841038165217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9.4</v>
      </c>
      <c r="AI46" s="13">
        <f>IF('Données projet'!$A$62&gt;35,AI45+AH46-AQ45,IF(A46&lt;'Données projet'!$A$62,$AF$205^A46,IF(A46='Données projet'!$A$62,'Données projet'!$B$62,AI45+AH46-AQ45)))</f>
        <v>221.20000000000002</v>
      </c>
      <c r="AJ46" s="13">
        <f>AI46*VLOOKUP('Données projet'!$B$10,Paramètres!$A$1:$I$89,3,0)*VLOOKUP('Données projet'!$B$10,Paramètres!$A$1:$I$89,5,0)</f>
        <v>175.98672000000002</v>
      </c>
      <c r="AK46" s="13">
        <f t="shared" si="35"/>
        <v>44.42813695214268</v>
      </c>
      <c r="AL46" s="20">
        <f t="shared" si="4"/>
        <v>383.88920919164849</v>
      </c>
      <c r="AM46" s="59">
        <f t="shared" si="5"/>
        <v>677.2225425249818</v>
      </c>
      <c r="AN46" s="59">
        <f ca="1">AVERAGE(OFFSET($AM$3,0,0,'Données projet'!$E$10+1,1))-AVERAGE(OFFSET($H$3,0,0,'Données projet'!$E$10+1,1))</f>
        <v>281.79835088425858</v>
      </c>
      <c r="AO46" s="59">
        <f t="shared" si="36"/>
        <v>345.4750813433123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181.20000000000002</v>
      </c>
      <c r="BE46" s="13">
        <f>BD46*VLOOKUP('Données projet'!$B$11,Paramètres!$A$1:$I$89,3,0)*VLOOKUP('Données projet'!$B$11,Paramètres!$A$1:$I$89,5,0)</f>
        <v>163.94976</v>
      </c>
      <c r="BF46" s="13">
        <f t="shared" si="37"/>
        <v>41.732126457893308</v>
      </c>
      <c r="BG46" s="20">
        <f t="shared" si="7"/>
        <v>358.22928558083089</v>
      </c>
      <c r="BH46" s="59">
        <f t="shared" si="8"/>
        <v>651.5626189141642</v>
      </c>
      <c r="BI46" s="59">
        <f ca="1">AVERAGE(OFFSET($BH$3,0,0,'Données projet'!$E$11+1,1))-AVERAGE(OFFSET($H$3,0,0,'Données projet'!$E$11+1,1))</f>
        <v>343.6089004382095</v>
      </c>
      <c r="BJ46" s="59">
        <f t="shared" si="38"/>
        <v>278.21741231699929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11.142857142857142</v>
      </c>
      <c r="BY46" s="12">
        <f>IF('Données projet'!$A$114&gt;35,BY45+BX46-CG45,IF(A46&lt;'Données projet'!$A$114,$BV$205^A46,IF(A46='Données projet'!$A$114,'Données projet'!$B$114,BY45+BX46-CG45)))</f>
        <v>218.85714285714278</v>
      </c>
      <c r="BZ46" s="13">
        <f>BY46*VLOOKUP('Données projet'!$B$12,Paramètres!$A$1:$I$89,3,0)*VLOOKUP('Données projet'!$B$12,Paramètres!$A$1:$I$89,5,0)</f>
        <v>170.70857142857136</v>
      </c>
      <c r="CA46" s="13">
        <f t="shared" si="39"/>
        <v>43.248681576985376</v>
      </c>
      <c r="CB46" s="20">
        <f t="shared" si="10"/>
        <v>372.64221565134466</v>
      </c>
      <c r="CC46" s="59">
        <f t="shared" si="11"/>
        <v>665.97554898467797</v>
      </c>
      <c r="CD46" s="59">
        <f ca="1">AVERAGE(OFFSET($CC$3,0,0,'Données projet'!$E$12+1,1))-AVERAGE(OFFSET($H$3,0,0,'Données projet'!$E$12+1,1))</f>
        <v>288.82868507674738</v>
      </c>
      <c r="CE46" s="59">
        <f t="shared" si="40"/>
        <v>283.48738729114024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2.1866658920027908</v>
      </c>
      <c r="CM46" s="21">
        <f>EXP(-LN(2)/2)*CM45+(1-EXP(-LN(2)/2))/(LN(2)/2)*CG46*CJ46*VLOOKUP('Données projet'!$B$12,Paramètres!$A$1:$I$89,3,0)*0.475*44/12</f>
        <v>3.6129924116239456E-2</v>
      </c>
      <c r="CN46" s="22">
        <f t="shared" si="12"/>
        <v>2.2227958161190302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10.8</v>
      </c>
      <c r="CT46" s="12">
        <f>IF('Données projet'!$A$140&gt;35,CT45+CS46-DB45,IF(A46&lt;'Données projet'!$A$140,$CQ$205^A46,IF(A46='Données projet'!$A$140,'Données projet'!$B$140,CT45+CS46-DB45)))</f>
        <v>168.4</v>
      </c>
      <c r="CU46" s="17">
        <f>CT46*VLOOKUP('Données projet'!$B$13,Paramètres!$A$1:$I$89,3,0)*VLOOKUP('Données projet'!$B$13,Paramètres!$A$1:$I$89,5,0)</f>
        <v>144.4872</v>
      </c>
      <c r="CV46" s="13">
        <f t="shared" si="41"/>
        <v>37.323064955372196</v>
      </c>
      <c r="CW46" s="20">
        <f t="shared" si="13"/>
        <v>316.65287813060655</v>
      </c>
      <c r="CX46" s="59">
        <f t="shared" si="14"/>
        <v>609.98621146393987</v>
      </c>
      <c r="CY46" s="59">
        <f ca="1">AVERAGE(OFFSET($CX$3,0,0,'Données projet'!$E$13+1,1))-AVERAGE(OFFSET($H$3,0,0,'Données projet'!$E$13+1,1))</f>
        <v>273.73158910361786</v>
      </c>
      <c r="CZ46" s="59">
        <f t="shared" si="42"/>
        <v>256.77417912163997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20.399999999999999</v>
      </c>
      <c r="DO46" s="12">
        <f>IF('Données projet'!$A$166&gt;35,DO45+DN46-DW45,IF(A46&lt;'Données projet'!$A$166,$DL$205^A46,IF(A46='Données projet'!$A$166,'Données projet'!$B$166,DO45+DN46-DW45)))</f>
        <v>636.19999999999993</v>
      </c>
      <c r="DP46" s="17">
        <f>DO46*VLOOKUP('Données projet'!$B$14,Paramètres!$A$1:$I$89,3,0)*VLOOKUP('Données projet'!$B$14,Paramètres!$A$1:$I$89,5,0)</f>
        <v>355.63579999999996</v>
      </c>
      <c r="DQ46" s="13">
        <f t="shared" si="43"/>
        <v>82.72189991276511</v>
      </c>
      <c r="DR46" s="20">
        <f t="shared" si="16"/>
        <v>763.47299401473254</v>
      </c>
      <c r="DS46" s="59">
        <f t="shared" si="17"/>
        <v>1056.8063273480659</v>
      </c>
      <c r="DT46" s="59">
        <f ca="1">AVERAGE(OFFSET($DS$3,0,0,'Données projet'!$E$14+1,1))-AVERAGE(OFFSET($H$3,0,0,'Données projet'!$E$14+1,1))</f>
        <v>534.78683721545372</v>
      </c>
      <c r="DU46" s="59">
        <f t="shared" si="44"/>
        <v>710.59298755711075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4.2247061890203348</v>
      </c>
      <c r="EB46" s="21">
        <f>EXP(-LN(2)/25)*EB45+(1-EXP(-LN(2)/25))/(LN(2)/25)*Calculateur!DW46*Calculateur!DY46*VLOOKUP('Données projet'!$B$14,Paramètres!$A$1:$I$89,3,0)*0.475*44/12</f>
        <v>16.87156633852014</v>
      </c>
      <c r="EC46" s="21">
        <f>EXP(-LN(2)/2)*EC45+(1-EXP(-LN(2)/2))/(LN(2)/2)*DW46*DZ46*VLOOKUP('Données projet'!$B$14,Paramètres!$A$1:$I$89,3,0)*0.475*44/12</f>
        <v>0.12926429089028346</v>
      </c>
      <c r="ED46" s="22">
        <f t="shared" si="18"/>
        <v>21.225536818430758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13.8</v>
      </c>
      <c r="EJ46" s="12">
        <f>IF('Données projet'!$A$192&gt;35,EJ45+EI46-ER45,IF(A46&lt;'Données projet'!$A$192,$EG$205^A46,IF(A46='Données projet'!$A$192,'Données projet'!$B$192,EJ45+EI46-ER45)))</f>
        <v>213.40000000000012</v>
      </c>
      <c r="EK46" s="17">
        <f>EJ46*VLOOKUP('Données projet'!$B$15,Paramètres!$A$1:$I$89,3,0)*VLOOKUP('Données projet'!$B$15,Paramètres!$A$1:$I$89,5,0)</f>
        <v>186.42624000000012</v>
      </c>
      <c r="EL46" s="13">
        <f t="shared" si="45"/>
        <v>46.748974211060826</v>
      </c>
      <c r="EM46" s="20">
        <f t="shared" si="19"/>
        <v>406.11349808426445</v>
      </c>
      <c r="EN46" s="59">
        <f t="shared" si="20"/>
        <v>699.44683141759776</v>
      </c>
      <c r="EO46" s="59">
        <f ca="1">AVERAGE(OFFSET($EN$3,0,0,'Données projet'!$E$15+1,1))-AVERAGE(OFFSET($H$3,0,0,'Données projet'!$E$15+1,1))</f>
        <v>255.2813753128475</v>
      </c>
      <c r="EP46" s="59">
        <f t="shared" si="46"/>
        <v>317.03005098025352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4.3604267662967944</v>
      </c>
      <c r="EW46" s="21">
        <f>EXP(-LN(2)/25)*EW45+(1-EXP(-LN(2)/25))/(LN(2)/25)*Calculateur!ER46*Calculateur!ET46*VLOOKUP('Données projet'!$B$15,Paramètres!$A$1:$I$89,3,0)*0.475*44/12</f>
        <v>12.298456934675784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16.658883700972577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13.8</v>
      </c>
      <c r="N47" s="13">
        <f>IF('Données projet'!$A$36&gt;35,N46+M47-V46,IF(A47&lt;'Données projet'!$A$36,$K$205^A47,IF(A47='Données projet'!$A$36,'Données projet'!$B$36,N46+M47-V46)))</f>
        <v>227.20000000000013</v>
      </c>
      <c r="O47" s="13">
        <f>N47*VLOOKUP('Données projet'!$B$9,Paramètres!$A$1:$I$89,3,0)*VLOOKUP('Données projet'!$B$9,Paramètres!$A$1:$I$89,5,0)</f>
        <v>166.58304000000007</v>
      </c>
      <c r="P47" s="13">
        <f t="shared" si="33"/>
        <v>42.323836208749285</v>
      </c>
      <c r="Q47" s="20">
        <f t="shared" si="53"/>
        <v>363.84614273023845</v>
      </c>
      <c r="R47" s="59">
        <f t="shared" si="0"/>
        <v>657.17947606357177</v>
      </c>
      <c r="S47" s="59">
        <f ca="1">AVERAGE(OFFSET($R$3,0,0,'Données projet'!$E$9+1,1))-AVERAGE(OFFSET($H$3,0,0,'Données projet'!$E$9+1,1))</f>
        <v>193.60868637458515</v>
      </c>
      <c r="T47" s="59">
        <f t="shared" si="34"/>
        <v>272.97841038165217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9.4</v>
      </c>
      <c r="AI47" s="13">
        <f>IF('Données projet'!$A$62&gt;35,AI46+AH47-AQ46,IF(A47&lt;'Données projet'!$A$62,$AF$205^A47,IF(A47='Données projet'!$A$62,'Données projet'!$B$62,AI46+AH47-AQ46)))</f>
        <v>230.60000000000002</v>
      </c>
      <c r="AJ47" s="13">
        <f>AI47*VLOOKUP('Données projet'!$B$10,Paramètres!$A$1:$I$89,3,0)*VLOOKUP('Données projet'!$B$10,Paramètres!$A$1:$I$89,5,0)</f>
        <v>183.46536000000003</v>
      </c>
      <c r="AK47" s="13">
        <f t="shared" si="35"/>
        <v>46.092307191940968</v>
      </c>
      <c r="AL47" s="20">
        <f t="shared" si="4"/>
        <v>399.81293702596389</v>
      </c>
      <c r="AM47" s="59">
        <f t="shared" si="5"/>
        <v>693.1462703592972</v>
      </c>
      <c r="AN47" s="59">
        <f ca="1">AVERAGE(OFFSET($AM$3,0,0,'Données projet'!$E$10+1,1))-AVERAGE(OFFSET($H$3,0,0,'Données projet'!$E$10+1,1))</f>
        <v>281.79835088425858</v>
      </c>
      <c r="AO47" s="59">
        <f t="shared" si="36"/>
        <v>345.4750813433123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192.60000000000002</v>
      </c>
      <c r="BE47" s="13">
        <f>BD47*VLOOKUP('Données projet'!$B$11,Paramètres!$A$1:$I$89,3,0)*VLOOKUP('Données projet'!$B$11,Paramètres!$A$1:$I$89,5,0)</f>
        <v>174.26447999999999</v>
      </c>
      <c r="BF47" s="13">
        <f t="shared" si="37"/>
        <v>44.043743683739521</v>
      </c>
      <c r="BG47" s="20">
        <f t="shared" si="7"/>
        <v>380.22015624917964</v>
      </c>
      <c r="BH47" s="59">
        <f t="shared" si="8"/>
        <v>673.55348958251295</v>
      </c>
      <c r="BI47" s="59">
        <f ca="1">AVERAGE(OFFSET($BH$3,0,0,'Données projet'!$E$11+1,1))-AVERAGE(OFFSET($H$3,0,0,'Données projet'!$E$11+1,1))</f>
        <v>343.6089004382095</v>
      </c>
      <c r="BJ47" s="59">
        <f t="shared" si="38"/>
        <v>278.21741231699929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230</v>
      </c>
      <c r="BW47" s="12">
        <f>VLOOKUP(A47,'Données projet'!$A$113:$I$133,9,0)</f>
        <v>11.142857142857142</v>
      </c>
      <c r="BX47" s="12">
        <f t="array" ref="BX47">INDEX(BW:BW,MIN(IF(ISNUMBER(BW47:BW243),ROW(BW47:BW243),"")))</f>
        <v>11.142857142857142</v>
      </c>
      <c r="BY47" s="12">
        <f>IF('Données projet'!$A$114&gt;35,BY46+BX47-CG46,IF(A47&lt;'Données projet'!$A$114,$BV$205^A47,IF(A47='Données projet'!$A$114,'Données projet'!$B$114,BY46+BX47-CG46)))</f>
        <v>229.99999999999991</v>
      </c>
      <c r="BZ47" s="13">
        <f>BY47*VLOOKUP('Données projet'!$B$12,Paramètres!$A$1:$I$89,3,0)*VLOOKUP('Données projet'!$B$12,Paramètres!$A$1:$I$89,5,0)</f>
        <v>179.39999999999995</v>
      </c>
      <c r="CA47" s="13">
        <f t="shared" si="39"/>
        <v>45.188671291872232</v>
      </c>
      <c r="CB47" s="20">
        <f t="shared" si="10"/>
        <v>391.15860250001066</v>
      </c>
      <c r="CC47" s="59">
        <f t="shared" si="11"/>
        <v>684.49193583334397</v>
      </c>
      <c r="CD47" s="59">
        <f ca="1">AVERAGE(OFFSET($CC$3,0,0,'Données projet'!$E$12+1,1))-AVERAGE(OFFSET($H$3,0,0,'Données projet'!$E$12+1,1))</f>
        <v>288.82868507674738</v>
      </c>
      <c r="CE47" s="59">
        <f t="shared" si="40"/>
        <v>283.48738729114024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43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2.1268713981942131</v>
      </c>
      <c r="CM47" s="21">
        <f>EXP(-LN(2)/2)*CM46+(1-EXP(-LN(2)/2))/(LN(2)/2)*CG47*CJ47*VLOOKUP('Données projet'!$B$12,Paramètres!$A$1:$I$89,3,0)*0.475*44/12</f>
        <v>2.55477143463483E-2</v>
      </c>
      <c r="CN47" s="22">
        <f t="shared" si="12"/>
        <v>2.1524191125405614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10.8</v>
      </c>
      <c r="CT47" s="12">
        <f>IF('Données projet'!$A$140&gt;35,CT46+CS47-DB46,IF(A47&lt;'Données projet'!$A$140,$CQ$205^A47,IF(A47='Données projet'!$A$140,'Données projet'!$B$140,CT46+CS47-DB46)))</f>
        <v>179.20000000000002</v>
      </c>
      <c r="CU47" s="17">
        <f>CT47*VLOOKUP('Données projet'!$B$13,Paramètres!$A$1:$I$89,3,0)*VLOOKUP('Données projet'!$B$13,Paramètres!$A$1:$I$89,5,0)</f>
        <v>153.75360000000003</v>
      </c>
      <c r="CV47" s="13">
        <f t="shared" si="41"/>
        <v>39.430373774012359</v>
      </c>
      <c r="CW47" s="20">
        <f t="shared" si="13"/>
        <v>336.46208765640489</v>
      </c>
      <c r="CX47" s="59">
        <f t="shared" si="14"/>
        <v>629.7954209897382</v>
      </c>
      <c r="CY47" s="59">
        <f ca="1">AVERAGE(OFFSET($CX$3,0,0,'Données projet'!$E$13+1,1))-AVERAGE(OFFSET($H$3,0,0,'Données projet'!$E$13+1,1))</f>
        <v>273.73158910361786</v>
      </c>
      <c r="CZ47" s="59">
        <f t="shared" si="42"/>
        <v>256.77417912163997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20.399999999999999</v>
      </c>
      <c r="DO47" s="12">
        <f>IF('Données projet'!$A$166&gt;35,DO46+DN47-DW46,IF(A47&lt;'Données projet'!$A$166,$DL$205^A47,IF(A47='Données projet'!$A$166,'Données projet'!$B$166,DO46+DN47-DW46)))</f>
        <v>656.59999999999991</v>
      </c>
      <c r="DP47" s="17">
        <f>DO47*VLOOKUP('Données projet'!$B$14,Paramètres!$A$1:$I$89,3,0)*VLOOKUP('Données projet'!$B$14,Paramètres!$A$1:$I$89,5,0)</f>
        <v>367.03939999999994</v>
      </c>
      <c r="DQ47" s="13">
        <f t="shared" si="43"/>
        <v>85.061334995140626</v>
      </c>
      <c r="DR47" s="20">
        <f t="shared" si="16"/>
        <v>787.40878011653638</v>
      </c>
      <c r="DS47" s="59">
        <f t="shared" si="17"/>
        <v>1080.7421134498697</v>
      </c>
      <c r="DT47" s="59">
        <f ca="1">AVERAGE(OFFSET($DS$3,0,0,'Données projet'!$E$14+1,1))-AVERAGE(OFFSET($H$3,0,0,'Données projet'!$E$14+1,1))</f>
        <v>534.78683721545372</v>
      </c>
      <c r="DU47" s="59">
        <f t="shared" si="44"/>
        <v>710.59298755711075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4.1418622774699818</v>
      </c>
      <c r="EB47" s="21">
        <f>EXP(-LN(2)/25)*EB46+(1-EXP(-LN(2)/25))/(LN(2)/25)*Calculateur!DW47*Calculateur!DY47*VLOOKUP('Données projet'!$B$14,Paramètres!$A$1:$I$89,3,0)*0.475*44/12</f>
        <v>16.410212469756193</v>
      </c>
      <c r="EC47" s="21">
        <f>EXP(-LN(2)/2)*EC46+(1-EXP(-LN(2)/2))/(LN(2)/2)*DW47*DZ47*VLOOKUP('Données projet'!$B$14,Paramètres!$A$1:$I$89,3,0)*0.475*44/12</f>
        <v>9.1403656653789897E-2</v>
      </c>
      <c r="ED47" s="22">
        <f t="shared" si="18"/>
        <v>20.643478403879964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13.8</v>
      </c>
      <c r="EJ47" s="12">
        <f>IF('Données projet'!$A$192&gt;35,EJ46+EI47-ER46,IF(A47&lt;'Données projet'!$A$192,$EG$205^A47,IF(A47='Données projet'!$A$192,'Données projet'!$B$192,EJ46+EI47-ER46)))</f>
        <v>227.20000000000013</v>
      </c>
      <c r="EK47" s="17">
        <f>EJ47*VLOOKUP('Données projet'!$B$15,Paramètres!$A$1:$I$89,3,0)*VLOOKUP('Données projet'!$B$15,Paramètres!$A$1:$I$89,5,0)</f>
        <v>198.48192000000014</v>
      </c>
      <c r="EL47" s="13">
        <f t="shared" si="45"/>
        <v>49.410391887159314</v>
      </c>
      <c r="EM47" s="20">
        <f t="shared" si="19"/>
        <v>431.74577653680268</v>
      </c>
      <c r="EN47" s="59">
        <f t="shared" si="20"/>
        <v>725.07910987013599</v>
      </c>
      <c r="EO47" s="59">
        <f ca="1">AVERAGE(OFFSET($EN$3,0,0,'Données projet'!$E$15+1,1))-AVERAGE(OFFSET($H$3,0,0,'Données projet'!$E$15+1,1))</f>
        <v>255.2813753128475</v>
      </c>
      <c r="EP47" s="59">
        <f t="shared" si="46"/>
        <v>317.03005098025352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4.2749214570074283</v>
      </c>
      <c r="EW47" s="21">
        <f>EXP(-LN(2)/25)*EW46+(1-EXP(-LN(2)/25))/(LN(2)/25)*Calculateur!ER47*Calculateur!ET47*VLOOKUP('Données projet'!$B$15,Paramètres!$A$1:$I$89,3,0)*0.475*44/12</f>
        <v>11.962154983049333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16.237076440056761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241</v>
      </c>
      <c r="L48" s="12">
        <f>VLOOKUP(A48,'Données projet'!$A$35:$I$55,9,0)</f>
        <v>13.8</v>
      </c>
      <c r="M48" s="12">
        <f t="array" ref="M48">INDEX(L:L,MIN(IF(ISNUMBER(L48:L244),ROW(L48:L244),"")))</f>
        <v>13.8</v>
      </c>
      <c r="N48" s="13">
        <f>IF('Données projet'!$A$36&gt;35,N47+M48-V47,IF(A48&lt;'Données projet'!$A$36,$K$205^A48,IF(A48='Données projet'!$A$36,'Données projet'!$B$36,N47+M48-V47)))</f>
        <v>241.00000000000014</v>
      </c>
      <c r="O48" s="13">
        <f>N48*VLOOKUP('Données projet'!$B$9,Paramètres!$A$1:$I$89,3,0)*VLOOKUP('Données projet'!$B$9,Paramètres!$A$1:$I$89,5,0)</f>
        <v>176.70120000000011</v>
      </c>
      <c r="P48" s="13">
        <f t="shared" si="33"/>
        <v>44.587475741993387</v>
      </c>
      <c r="Q48" s="20">
        <f t="shared" si="53"/>
        <v>385.41111025063861</v>
      </c>
      <c r="R48" s="59">
        <f t="shared" si="0"/>
        <v>678.74444358397193</v>
      </c>
      <c r="S48" s="59">
        <f ca="1">AVERAGE(OFFSET($R$3,0,0,'Données projet'!$E$9+1,1))-AVERAGE(OFFSET($H$3,0,0,'Données projet'!$E$9+1,1))</f>
        <v>193.60868637458515</v>
      </c>
      <c r="T48" s="59">
        <f t="shared" si="34"/>
        <v>272.97841038165217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35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240</v>
      </c>
      <c r="AG48" s="12">
        <f>VLOOKUP(A48,'Données projet'!$A$61:$I$81,9,0)</f>
        <v>9.4</v>
      </c>
      <c r="AH48" s="12">
        <f t="array" ref="AH48">INDEX(AG:AG,MIN(IF(ISNUMBER(AG48:AG244),ROW(AG48:AG244),"")))</f>
        <v>9.4</v>
      </c>
      <c r="AI48" s="13">
        <f>IF('Données projet'!$A$62&gt;35,AI47+AH48-AQ47,IF(A48&lt;'Données projet'!$A$62,$AF$205^A48,IF(A48='Données projet'!$A$62,'Données projet'!$B$62,AI47+AH48-AQ47)))</f>
        <v>240.00000000000003</v>
      </c>
      <c r="AJ48" s="13">
        <f>AI48*VLOOKUP('Données projet'!$B$10,Paramètres!$A$1:$I$89,3,0)*VLOOKUP('Données projet'!$B$10,Paramètres!$A$1:$I$89,5,0)</f>
        <v>190.94400000000005</v>
      </c>
      <c r="AK48" s="13">
        <f t="shared" si="35"/>
        <v>47.748597609826597</v>
      </c>
      <c r="AL48" s="20">
        <f t="shared" si="4"/>
        <v>415.72294083711472</v>
      </c>
      <c r="AM48" s="59">
        <f t="shared" si="5"/>
        <v>709.05627417044798</v>
      </c>
      <c r="AN48" s="59">
        <f ca="1">AVERAGE(OFFSET($AM$3,0,0,'Données projet'!$E$10+1,1))-AVERAGE(OFFSET($H$3,0,0,'Données projet'!$E$10+1,1))</f>
        <v>281.79835088425858</v>
      </c>
      <c r="AO48" s="59">
        <f t="shared" si="36"/>
        <v>345.4750813433123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24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204.00000000000003</v>
      </c>
      <c r="BE48" s="13">
        <f>BD48*VLOOKUP('Données projet'!$B$11,Paramètres!$A$1:$I$89,3,0)*VLOOKUP('Données projet'!$B$11,Paramètres!$A$1:$I$89,5,0)</f>
        <v>184.57920000000001</v>
      </c>
      <c r="BF48" s="13">
        <f t="shared" si="37"/>
        <v>46.339479465836661</v>
      </c>
      <c r="BG48" s="20">
        <f t="shared" si="7"/>
        <v>402.18336673633218</v>
      </c>
      <c r="BH48" s="59">
        <f t="shared" si="8"/>
        <v>695.51670006966549</v>
      </c>
      <c r="BI48" s="59">
        <f ca="1">AVERAGE(OFFSET($BH$3,0,0,'Données projet'!$E$11+1,1))-AVERAGE(OFFSET($H$3,0,0,'Données projet'!$E$11+1,1))</f>
        <v>343.6089004382095</v>
      </c>
      <c r="BJ48" s="59">
        <f t="shared" si="38"/>
        <v>278.21741231699929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10.375</v>
      </c>
      <c r="BY48" s="12">
        <f>IF('Données projet'!$A$114&gt;35,BY47+BX48-CG47,IF(A48&lt;'Données projet'!$A$114,$BV$205^A48,IF(A48='Données projet'!$A$114,'Données projet'!$B$114,BY47+BX48-CG47)))</f>
        <v>197.37499999999991</v>
      </c>
      <c r="BZ48" s="13">
        <f>BY48*VLOOKUP('Données projet'!$B$12,Paramètres!$A$1:$I$89,3,0)*VLOOKUP('Données projet'!$B$12,Paramètres!$A$1:$I$89,5,0)</f>
        <v>153.95249999999993</v>
      </c>
      <c r="CA48" s="13">
        <f t="shared" si="39"/>
        <v>39.475441267837361</v>
      </c>
      <c r="CB48" s="20">
        <f t="shared" si="10"/>
        <v>336.88699770814992</v>
      </c>
      <c r="CC48" s="59">
        <f t="shared" si="11"/>
        <v>630.22033104148318</v>
      </c>
      <c r="CD48" s="59">
        <f ca="1">AVERAGE(OFFSET($CC$3,0,0,'Données projet'!$E$12+1,1))-AVERAGE(OFFSET($H$3,0,0,'Données projet'!$E$12+1,1))</f>
        <v>288.82868507674738</v>
      </c>
      <c r="CE48" s="59">
        <f t="shared" si="40"/>
        <v>283.48738729114024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2.0687119879632867</v>
      </c>
      <c r="CM48" s="21">
        <f>EXP(-LN(2)/2)*CM47+(1-EXP(-LN(2)/2))/(LN(2)/2)*CG48*CJ48*VLOOKUP('Données projet'!$B$12,Paramètres!$A$1:$I$89,3,0)*0.475*44/12</f>
        <v>1.8064962058119728E-2</v>
      </c>
      <c r="CN48" s="22">
        <f t="shared" si="12"/>
        <v>2.0867769500214064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190</v>
      </c>
      <c r="CR48" s="12">
        <f>VLOOKUP(A48,'Données projet'!$A$139:$I$159,9,0)</f>
        <v>10.8</v>
      </c>
      <c r="CS48" s="12">
        <f t="array" ref="CS48">INDEX(CR:CR,MIN(IF(ISNUMBER(CR48:CR244),ROW(CR48:CR244),"")))</f>
        <v>10.8</v>
      </c>
      <c r="CT48" s="12">
        <f>IF('Données projet'!$A$140&gt;35,CT47+CS48-DB47,IF(A48&lt;'Données projet'!$A$140,$CQ$205^A48,IF(A48='Données projet'!$A$140,'Données projet'!$B$140,CT47+CS48-DB47)))</f>
        <v>190.00000000000003</v>
      </c>
      <c r="CU48" s="17">
        <f>CT48*VLOOKUP('Données projet'!$B$13,Paramètres!$A$1:$I$89,3,0)*VLOOKUP('Données projet'!$B$13,Paramètres!$A$1:$I$89,5,0)</f>
        <v>163.02000000000004</v>
      </c>
      <c r="CV48" s="13">
        <f t="shared" si="41"/>
        <v>41.52294175893757</v>
      </c>
      <c r="CW48" s="20">
        <f t="shared" si="13"/>
        <v>356.24562356348298</v>
      </c>
      <c r="CX48" s="59">
        <f t="shared" si="14"/>
        <v>649.57895689681629</v>
      </c>
      <c r="CY48" s="59">
        <f ca="1">AVERAGE(OFFSET($CX$3,0,0,'Données projet'!$E$13+1,1))-AVERAGE(OFFSET($H$3,0,0,'Données projet'!$E$13+1,1))</f>
        <v>273.73158910361786</v>
      </c>
      <c r="CZ48" s="59">
        <f t="shared" si="42"/>
        <v>256.77417912163997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677</v>
      </c>
      <c r="DM48" s="12">
        <f>VLOOKUP(A48,'Données projet'!$A$165:$I$185,9,0)</f>
        <v>20.399999999999999</v>
      </c>
      <c r="DN48" s="12">
        <f t="array" ref="DN48">INDEX(DM:DM,MIN(IF(ISNUMBER(DM48:DM244),ROW(DM48:DM244),"")))</f>
        <v>20.399999999999999</v>
      </c>
      <c r="DO48" s="12">
        <f>IF('Données projet'!$A$166&gt;35,DO47+DN48-DW47,IF(A48&lt;'Données projet'!$A$166,$DL$205^A48,IF(A48='Données projet'!$A$166,'Données projet'!$B$166,DO47+DN48-DW47)))</f>
        <v>676.99999999999989</v>
      </c>
      <c r="DP48" s="17">
        <f>DO48*VLOOKUP('Données projet'!$B$14,Paramètres!$A$1:$I$89,3,0)*VLOOKUP('Données projet'!$B$14,Paramètres!$A$1:$I$89,5,0)</f>
        <v>378.44299999999998</v>
      </c>
      <c r="DQ48" s="13">
        <f t="shared" si="43"/>
        <v>87.392323475551621</v>
      </c>
      <c r="DR48" s="20">
        <f t="shared" si="16"/>
        <v>811.32985505325234</v>
      </c>
      <c r="DS48" s="59">
        <f t="shared" si="17"/>
        <v>1104.6631883865857</v>
      </c>
      <c r="DT48" s="59">
        <f ca="1">AVERAGE(OFFSET($DS$3,0,0,'Données projet'!$E$14+1,1))-AVERAGE(OFFSET($H$3,0,0,'Données projet'!$E$14+1,1))</f>
        <v>534.78683721545372</v>
      </c>
      <c r="DU48" s="59">
        <f t="shared" si="44"/>
        <v>710.59298755711075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82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4.0606428844953344</v>
      </c>
      <c r="EB48" s="21">
        <f>EXP(-LN(2)/25)*EB47+(1-EXP(-LN(2)/25))/(LN(2)/25)*Calculateur!DW48*Calculateur!DY48*VLOOKUP('Données projet'!$B$14,Paramètres!$A$1:$I$89,3,0)*0.475*44/12</f>
        <v>15.961474346795141</v>
      </c>
      <c r="EC48" s="21">
        <f>EXP(-LN(2)/2)*EC47+(1-EXP(-LN(2)/2))/(LN(2)/2)*DW48*DZ48*VLOOKUP('Données projet'!$B$14,Paramètres!$A$1:$I$89,3,0)*0.475*44/12</f>
        <v>6.4632145445141731E-2</v>
      </c>
      <c r="ED48" s="22">
        <f t="shared" si="18"/>
        <v>20.086749376735618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241</v>
      </c>
      <c r="EH48" s="12">
        <f>VLOOKUP(A48,'Données projet'!$A$191:$I$211,9,0)</f>
        <v>13.8</v>
      </c>
      <c r="EI48" s="12">
        <f t="array" ref="EI48">INDEX(EH:EH,MIN(IF(ISNUMBER(EH48:EH244),ROW(EH48:EH244),"")))</f>
        <v>13.8</v>
      </c>
      <c r="EJ48" s="12">
        <f>IF('Données projet'!$A$192&gt;35,EJ47+EI48-ER47,IF(A48&lt;'Données projet'!$A$192,$EG$205^A48,IF(A48='Données projet'!$A$192,'Données projet'!$B$192,EJ47+EI48-ER47)))</f>
        <v>241.00000000000014</v>
      </c>
      <c r="EK48" s="17">
        <f>EJ48*VLOOKUP('Données projet'!$B$15,Paramètres!$A$1:$I$89,3,0)*VLOOKUP('Données projet'!$B$15,Paramètres!$A$1:$I$89,5,0)</f>
        <v>210.53760000000014</v>
      </c>
      <c r="EL48" s="13">
        <f t="shared" si="45"/>
        <v>52.053047337322276</v>
      </c>
      <c r="EM48" s="20">
        <f t="shared" si="19"/>
        <v>457.3453774458365</v>
      </c>
      <c r="EN48" s="59">
        <f t="shared" si="20"/>
        <v>750.67871077916982</v>
      </c>
      <c r="EO48" s="59">
        <f ca="1">AVERAGE(OFFSET($EN$3,0,0,'Données projet'!$E$15+1,1))-AVERAGE(OFFSET($H$3,0,0,'Données projet'!$E$15+1,1))</f>
        <v>255.2813753128475</v>
      </c>
      <c r="EP48" s="59">
        <f t="shared" si="46"/>
        <v>317.03005098025352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35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4.1910928546801376</v>
      </c>
      <c r="EW48" s="21">
        <f>EXP(-LN(2)/25)*EW47+(1-EXP(-LN(2)/25))/(LN(2)/25)*Calculateur!ER48*Calculateur!ET48*VLOOKUP('Données projet'!$B$15,Paramètres!$A$1:$I$89,3,0)*0.475*44/12</f>
        <v>11.635049225975457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15.826142080655595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13.6</v>
      </c>
      <c r="N49" s="13">
        <f>IF('Données projet'!$A$36&gt;35,N48+M49-V48,IF(A49&lt;'Données projet'!$A$36,$K$205^A49,IF(A49='Données projet'!$A$36,'Données projet'!$B$36,N48+M49-V48)))</f>
        <v>219.60000000000014</v>
      </c>
      <c r="O49" s="13">
        <f>N49*VLOOKUP('Données projet'!$B$9,Paramètres!$A$1:$I$89,3,0)*VLOOKUP('Données projet'!$B$9,Paramètres!$A$1:$I$89,5,0)</f>
        <v>161.01072000000011</v>
      </c>
      <c r="P49" s="13">
        <f t="shared" si="33"/>
        <v>41.070402507024554</v>
      </c>
      <c r="Q49" s="20">
        <f t="shared" si="53"/>
        <v>351.95795503306795</v>
      </c>
      <c r="R49" s="59">
        <f t="shared" si="0"/>
        <v>645.2912883664012</v>
      </c>
      <c r="S49" s="59">
        <f ca="1">AVERAGE(OFFSET($R$3,0,0,'Données projet'!$E$9+1,1))-AVERAGE(OFFSET($H$3,0,0,'Données projet'!$E$9+1,1))</f>
        <v>193.60868637458515</v>
      </c>
      <c r="T49" s="59">
        <f t="shared" si="34"/>
        <v>272.97841038165217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</v>
      </c>
      <c r="AI49" s="13">
        <f>IF('Données projet'!$A$62&gt;35,AI48+AH49-AQ48,IF(A49&lt;'Données projet'!$A$62,$AF$205^A49,IF(A49='Données projet'!$A$62,'Données projet'!$B$62,AI48+AH49-AQ48)))</f>
        <v>225.00000000000003</v>
      </c>
      <c r="AJ49" s="13">
        <f>AI49*VLOOKUP('Données projet'!$B$10,Paramètres!$A$1:$I$89,3,0)*VLOOKUP('Données projet'!$B$10,Paramètres!$A$1:$I$89,5,0)</f>
        <v>179.01000000000002</v>
      </c>
      <c r="AK49" s="13">
        <f t="shared" si="35"/>
        <v>45.101858757318141</v>
      </c>
      <c r="AL49" s="20">
        <f t="shared" si="4"/>
        <v>390.32815400232903</v>
      </c>
      <c r="AM49" s="59">
        <f t="shared" si="5"/>
        <v>683.66148733566229</v>
      </c>
      <c r="AN49" s="59">
        <f ca="1">AVERAGE(OFFSET($AM$3,0,0,'Données projet'!$E$10+1,1))-AVERAGE(OFFSET($H$3,0,0,'Données projet'!$E$10+1,1))</f>
        <v>281.79835088425858</v>
      </c>
      <c r="AO49" s="59">
        <f t="shared" si="36"/>
        <v>345.4750813433123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187.00000000000003</v>
      </c>
      <c r="BE49" s="13">
        <f>BD49*VLOOKUP('Données projet'!$B$11,Paramètres!$A$1:$I$89,3,0)*VLOOKUP('Données projet'!$B$11,Paramètres!$A$1:$I$89,5,0)</f>
        <v>169.19760000000002</v>
      </c>
      <c r="BF49" s="13">
        <f t="shared" si="37"/>
        <v>42.910263223432885</v>
      </c>
      <c r="BG49" s="20">
        <f t="shared" si="7"/>
        <v>369.42119511414558</v>
      </c>
      <c r="BH49" s="59">
        <f t="shared" si="8"/>
        <v>662.75452844747883</v>
      </c>
      <c r="BI49" s="59">
        <f ca="1">AVERAGE(OFFSET($BH$3,0,0,'Données projet'!$E$11+1,1))-AVERAGE(OFFSET($H$3,0,0,'Données projet'!$E$11+1,1))</f>
        <v>343.6089004382095</v>
      </c>
      <c r="BJ49" s="59">
        <f t="shared" si="38"/>
        <v>278.21741231699929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10.375</v>
      </c>
      <c r="BY49" s="12">
        <f>IF('Données projet'!$A$114&gt;35,BY48+BX49-CG48,IF(A49&lt;'Données projet'!$A$114,$BV$205^A49,IF(A49='Données projet'!$A$114,'Données projet'!$B$114,BY48+BX49-CG48)))</f>
        <v>207.74999999999991</v>
      </c>
      <c r="BZ49" s="13">
        <f>BY49*VLOOKUP('Données projet'!$B$12,Paramètres!$A$1:$I$89,3,0)*VLOOKUP('Données projet'!$B$12,Paramètres!$A$1:$I$89,5,0)</f>
        <v>162.04499999999993</v>
      </c>
      <c r="CA49" s="13">
        <f t="shared" si="39"/>
        <v>41.303429372463391</v>
      </c>
      <c r="CB49" s="20">
        <f t="shared" si="10"/>
        <v>354.16518115704025</v>
      </c>
      <c r="CC49" s="59">
        <f t="shared" si="11"/>
        <v>647.49851449037351</v>
      </c>
      <c r="CD49" s="59">
        <f ca="1">AVERAGE(OFFSET($CC$3,0,0,'Données projet'!$E$12+1,1))-AVERAGE(OFFSET($H$3,0,0,'Données projet'!$E$12+1,1))</f>
        <v>288.82868507674738</v>
      </c>
      <c r="CE49" s="59">
        <f t="shared" si="40"/>
        <v>283.48738729114024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2.0121429498635952</v>
      </c>
      <c r="CM49" s="21">
        <f>EXP(-LN(2)/2)*CM48+(1-EXP(-LN(2)/2))/(LN(2)/2)*CG49*CJ49*VLOOKUP('Données projet'!$B$12,Paramètres!$A$1:$I$89,3,0)*0.475*44/12</f>
        <v>1.277385717317415E-2</v>
      </c>
      <c r="CN49" s="22">
        <f t="shared" si="12"/>
        <v>2.0249168070367696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173.00000000000003</v>
      </c>
      <c r="CU49" s="17">
        <f>CT49*VLOOKUP('Données projet'!$B$13,Paramètres!$A$1:$I$89,3,0)*VLOOKUP('Données projet'!$B$13,Paramètres!$A$1:$I$89,5,0)</f>
        <v>148.43400000000003</v>
      </c>
      <c r="CV49" s="13">
        <f t="shared" si="41"/>
        <v>38.222489421716382</v>
      </c>
      <c r="CW49" s="20">
        <f t="shared" si="13"/>
        <v>325.0933857428227</v>
      </c>
      <c r="CX49" s="59">
        <f t="shared" si="14"/>
        <v>618.42671907615602</v>
      </c>
      <c r="CY49" s="59">
        <f ca="1">AVERAGE(OFFSET($CX$3,0,0,'Données projet'!$E$13+1,1))-AVERAGE(OFFSET($H$3,0,0,'Données projet'!$E$13+1,1))</f>
        <v>273.73158910361786</v>
      </c>
      <c r="CZ49" s="59">
        <f t="shared" si="42"/>
        <v>256.77417912163997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19.2</v>
      </c>
      <c r="DO49" s="12">
        <f>IF('Données projet'!$A$166&gt;35,DO48+DN49-DW48,IF(A49&lt;'Données projet'!$A$166,$DL$205^A49,IF(A49='Données projet'!$A$166,'Données projet'!$B$166,DO48+DN49-DW48)))</f>
        <v>614.19999999999993</v>
      </c>
      <c r="DP49" s="17">
        <f>DO49*VLOOKUP('Données projet'!$B$14,Paramètres!$A$1:$I$89,3,0)*VLOOKUP('Données projet'!$B$14,Paramètres!$A$1:$I$89,5,0)</f>
        <v>343.33780000000002</v>
      </c>
      <c r="DQ49" s="13">
        <f t="shared" si="43"/>
        <v>80.189164455589108</v>
      </c>
      <c r="DR49" s="20">
        <f t="shared" si="16"/>
        <v>737.64279642681765</v>
      </c>
      <c r="DS49" s="59">
        <f t="shared" si="17"/>
        <v>1030.976129760151</v>
      </c>
      <c r="DT49" s="59">
        <f ca="1">AVERAGE(OFFSET($DS$3,0,0,'Données projet'!$E$14+1,1))-AVERAGE(OFFSET($H$3,0,0,'Données projet'!$E$14+1,1))</f>
        <v>534.78683721545372</v>
      </c>
      <c r="DU49" s="59">
        <f t="shared" si="44"/>
        <v>710.59298755711075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3.9810161542779818</v>
      </c>
      <c r="EB49" s="21">
        <f>EXP(-LN(2)/25)*EB48+(1-EXP(-LN(2)/25))/(LN(2)/25)*Calculateur!DW49*Calculateur!DY49*VLOOKUP('Données projet'!$B$14,Paramètres!$A$1:$I$89,3,0)*0.475*44/12</f>
        <v>15.525006991404572</v>
      </c>
      <c r="EC49" s="21">
        <f>EXP(-LN(2)/2)*EC48+(1-EXP(-LN(2)/2))/(LN(2)/2)*DW49*DZ49*VLOOKUP('Données projet'!$B$14,Paramètres!$A$1:$I$89,3,0)*0.475*44/12</f>
        <v>4.5701828326894949E-2</v>
      </c>
      <c r="ED49" s="22">
        <f t="shared" si="18"/>
        <v>19.551724974009449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13.6</v>
      </c>
      <c r="EJ49" s="12">
        <f>IF('Données projet'!$A$192&gt;35,EJ48+EI49-ER48,IF(A49&lt;'Données projet'!$A$192,$EG$205^A49,IF(A49='Données projet'!$A$192,'Données projet'!$B$192,EJ48+EI49-ER48)))</f>
        <v>219.60000000000014</v>
      </c>
      <c r="EK49" s="17">
        <f>EJ49*VLOOKUP('Données projet'!$B$15,Paramètres!$A$1:$I$89,3,0)*VLOOKUP('Données projet'!$B$15,Paramètres!$A$1:$I$89,5,0)</f>
        <v>191.84256000000013</v>
      </c>
      <c r="EL49" s="13">
        <f t="shared" si="45"/>
        <v>47.947087613384845</v>
      </c>
      <c r="EM49" s="20">
        <f t="shared" si="19"/>
        <v>417.6336362599788</v>
      </c>
      <c r="EN49" s="59">
        <f t="shared" si="20"/>
        <v>710.96696959331211</v>
      </c>
      <c r="EO49" s="59">
        <f ca="1">AVERAGE(OFFSET($EN$3,0,0,'Données projet'!$E$15+1,1))-AVERAGE(OFFSET($H$3,0,0,'Données projet'!$E$15+1,1))</f>
        <v>255.2813753128475</v>
      </c>
      <c r="EP49" s="59">
        <f t="shared" si="46"/>
        <v>317.03005098025352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4.1089080801140865</v>
      </c>
      <c r="EW49" s="21">
        <f>EXP(-LN(2)/25)*EW48+(1-EXP(-LN(2)/25))/(LN(2)/25)*Calculateur!ER49*Calculateur!ET49*VLOOKUP('Données projet'!$B$15,Paramètres!$A$1:$I$89,3,0)*0.475*44/12</f>
        <v>11.316888193030511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15.425796273144599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13.6</v>
      </c>
      <c r="N50" s="13">
        <f>IF('Données projet'!$A$36&gt;35,N49+M50-V49,IF(A50&lt;'Données projet'!$A$36,$K$205^A50,IF(A50='Données projet'!$A$36,'Données projet'!$B$36,N49+M50-V49)))</f>
        <v>233.20000000000013</v>
      </c>
      <c r="O50" s="13">
        <f>N50*VLOOKUP('Données projet'!$B$9,Paramètres!$A$1:$I$89,3,0)*VLOOKUP('Données projet'!$B$9,Paramètres!$A$1:$I$89,5,0)</f>
        <v>170.9822400000001</v>
      </c>
      <c r="P50" s="13">
        <f t="shared" si="33"/>
        <v>43.309938852702771</v>
      </c>
      <c r="Q50" s="20">
        <f t="shared" si="53"/>
        <v>373.22554483512414</v>
      </c>
      <c r="R50" s="59">
        <f t="shared" si="0"/>
        <v>666.55887816845745</v>
      </c>
      <c r="S50" s="59">
        <f ca="1">AVERAGE(OFFSET($R$3,0,0,'Données projet'!$E$9+1,1))-AVERAGE(OFFSET($H$3,0,0,'Données projet'!$E$9+1,1))</f>
        <v>193.60868637458515</v>
      </c>
      <c r="T50" s="59">
        <f t="shared" si="34"/>
        <v>272.97841038165217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</v>
      </c>
      <c r="AI50" s="13">
        <f>IF('Données projet'!$A$62&gt;35,AI49+AH50-AQ49,IF(A50&lt;'Données projet'!$A$62,$AF$205^A50,IF(A50='Données projet'!$A$62,'Données projet'!$B$62,AI49+AH50-AQ49)))</f>
        <v>234.00000000000003</v>
      </c>
      <c r="AJ50" s="13">
        <f>AI50*VLOOKUP('Données projet'!$B$10,Paramètres!$A$1:$I$89,3,0)*VLOOKUP('Données projet'!$B$10,Paramètres!$A$1:$I$89,5,0)</f>
        <v>186.17040000000003</v>
      </c>
      <c r="AK50" s="13">
        <f t="shared" si="35"/>
        <v>46.692281933796018</v>
      </c>
      <c r="AL50" s="20">
        <f t="shared" si="4"/>
        <v>405.56917103469476</v>
      </c>
      <c r="AM50" s="59">
        <f t="shared" si="5"/>
        <v>698.90250436802808</v>
      </c>
      <c r="AN50" s="59">
        <f ca="1">AVERAGE(OFFSET($AM$3,0,0,'Données projet'!$E$10+1,1))-AVERAGE(OFFSET($H$3,0,0,'Données projet'!$E$10+1,1))</f>
        <v>281.79835088425858</v>
      </c>
      <c r="AO50" s="59">
        <f t="shared" si="36"/>
        <v>345.4750813433123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198.00000000000003</v>
      </c>
      <c r="BE50" s="13">
        <f>BD50*VLOOKUP('Données projet'!$B$11,Paramètres!$A$1:$I$89,3,0)*VLOOKUP('Données projet'!$B$11,Paramètres!$A$1:$I$89,5,0)</f>
        <v>179.15040000000002</v>
      </c>
      <c r="BF50" s="13">
        <f t="shared" si="37"/>
        <v>45.133113803437304</v>
      </c>
      <c r="BG50" s="20">
        <f t="shared" si="7"/>
        <v>390.62711987431999</v>
      </c>
      <c r="BH50" s="59">
        <f t="shared" si="8"/>
        <v>683.96045320765325</v>
      </c>
      <c r="BI50" s="59">
        <f ca="1">AVERAGE(OFFSET($BH$3,0,0,'Données projet'!$E$11+1,1))-AVERAGE(OFFSET($H$3,0,0,'Données projet'!$E$11+1,1))</f>
        <v>343.6089004382095</v>
      </c>
      <c r="BJ50" s="59">
        <f t="shared" si="38"/>
        <v>278.21741231699929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10.375</v>
      </c>
      <c r="BY50" s="12">
        <f>IF('Données projet'!$A$114&gt;35,BY49+BX50-CG49,IF(A50&lt;'Données projet'!$A$114,$BV$205^A50,IF(A50='Données projet'!$A$114,'Données projet'!$B$114,BY49+BX50-CG49)))</f>
        <v>218.12499999999991</v>
      </c>
      <c r="BZ50" s="13">
        <f>BY50*VLOOKUP('Données projet'!$B$12,Paramètres!$A$1:$I$89,3,0)*VLOOKUP('Données projet'!$B$12,Paramètres!$A$1:$I$89,5,0)</f>
        <v>170.13749999999993</v>
      </c>
      <c r="CA50" s="13">
        <f t="shared" si="39"/>
        <v>43.120817562072375</v>
      </c>
      <c r="CB50" s="20">
        <f t="shared" si="10"/>
        <v>371.42490308727588</v>
      </c>
      <c r="CC50" s="59">
        <f t="shared" si="11"/>
        <v>664.75823642060914</v>
      </c>
      <c r="CD50" s="59">
        <f ca="1">AVERAGE(OFFSET($CC$3,0,0,'Données projet'!$E$12+1,1))-AVERAGE(OFFSET($H$3,0,0,'Données projet'!$E$12+1,1))</f>
        <v>288.82868507674738</v>
      </c>
      <c r="CE50" s="59">
        <f t="shared" si="40"/>
        <v>283.48738729114024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1.9571207950855762</v>
      </c>
      <c r="CM50" s="21">
        <f>EXP(-LN(2)/2)*CM49+(1-EXP(-LN(2)/2))/(LN(2)/2)*CG50*CJ50*VLOOKUP('Données projet'!$B$12,Paramètres!$A$1:$I$89,3,0)*0.475*44/12</f>
        <v>9.0324810290598641E-3</v>
      </c>
      <c r="CN50" s="22">
        <f t="shared" si="12"/>
        <v>1.9661532761146361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184.00000000000003</v>
      </c>
      <c r="CU50" s="17">
        <f>CT50*VLOOKUP('Données projet'!$B$13,Paramètres!$A$1:$I$89,3,0)*VLOOKUP('Données projet'!$B$13,Paramètres!$A$1:$I$89,5,0)</f>
        <v>157.87200000000004</v>
      </c>
      <c r="CV50" s="13">
        <f t="shared" si="41"/>
        <v>40.362165684361159</v>
      </c>
      <c r="CW50" s="20">
        <f t="shared" si="13"/>
        <v>345.25783856692902</v>
      </c>
      <c r="CX50" s="59">
        <f t="shared" si="14"/>
        <v>638.59117190026234</v>
      </c>
      <c r="CY50" s="59">
        <f ca="1">AVERAGE(OFFSET($CX$3,0,0,'Données projet'!$E$13+1,1))-AVERAGE(OFFSET($H$3,0,0,'Données projet'!$E$13+1,1))</f>
        <v>273.73158910361786</v>
      </c>
      <c r="CZ50" s="59">
        <f t="shared" si="42"/>
        <v>256.77417912163997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19.2</v>
      </c>
      <c r="DO50" s="12">
        <f>IF('Données projet'!$A$166&gt;35,DO49+DN50-DW49,IF(A50&lt;'Données projet'!$A$166,$DL$205^A50,IF(A50='Données projet'!$A$166,'Données projet'!$B$166,DO49+DN50-DW49)))</f>
        <v>633.4</v>
      </c>
      <c r="DP50" s="17">
        <f>DO50*VLOOKUP('Données projet'!$B$14,Paramètres!$A$1:$I$89,3,0)*VLOOKUP('Données projet'!$B$14,Paramètres!$A$1:$I$89,5,0)</f>
        <v>354.07059999999996</v>
      </c>
      <c r="DQ50" s="13">
        <f t="shared" si="43"/>
        <v>82.400125145142354</v>
      </c>
      <c r="DR50" s="20">
        <f t="shared" si="16"/>
        <v>760.18651296112273</v>
      </c>
      <c r="DS50" s="59">
        <f t="shared" si="17"/>
        <v>1053.5198462944561</v>
      </c>
      <c r="DT50" s="59">
        <f ca="1">AVERAGE(OFFSET($DS$3,0,0,'Données projet'!$E$14+1,1))-AVERAGE(OFFSET($H$3,0,0,'Données projet'!$E$14+1,1))</f>
        <v>534.78683721545372</v>
      </c>
      <c r="DU50" s="59">
        <f t="shared" si="44"/>
        <v>710.59298755711075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3.9029508556726817</v>
      </c>
      <c r="EB50" s="21">
        <f>EXP(-LN(2)/25)*EB49+(1-EXP(-LN(2)/25))/(LN(2)/25)*Calculateur!DW50*Calculateur!DY50*VLOOKUP('Données projet'!$B$14,Paramètres!$A$1:$I$89,3,0)*0.475*44/12</f>
        <v>15.100474858799979</v>
      </c>
      <c r="EC50" s="21">
        <f>EXP(-LN(2)/2)*EC49+(1-EXP(-LN(2)/2))/(LN(2)/2)*DW50*DZ50*VLOOKUP('Données projet'!$B$14,Paramètres!$A$1:$I$89,3,0)*0.475*44/12</f>
        <v>3.2316072722570865E-2</v>
      </c>
      <c r="ED50" s="22">
        <f t="shared" si="18"/>
        <v>19.035741787195235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13.6</v>
      </c>
      <c r="EJ50" s="12">
        <f>IF('Données projet'!$A$192&gt;35,EJ49+EI50-ER49,IF(A50&lt;'Données projet'!$A$192,$EG$205^A50,IF(A50='Données projet'!$A$192,'Données projet'!$B$192,EJ49+EI50-ER49)))</f>
        <v>233.20000000000013</v>
      </c>
      <c r="EK50" s="17">
        <f>EJ50*VLOOKUP('Données projet'!$B$15,Paramètres!$A$1:$I$89,3,0)*VLOOKUP('Données projet'!$B$15,Paramètres!$A$1:$I$89,5,0)</f>
        <v>203.72352000000015</v>
      </c>
      <c r="EL50" s="13">
        <f t="shared" si="45"/>
        <v>50.561604122231515</v>
      </c>
      <c r="EM50" s="20">
        <f t="shared" si="19"/>
        <v>442.87992451288682</v>
      </c>
      <c r="EN50" s="59">
        <f t="shared" si="20"/>
        <v>736.21325784622013</v>
      </c>
      <c r="EO50" s="59">
        <f ca="1">AVERAGE(OFFSET($EN$3,0,0,'Données projet'!$E$15+1,1))-AVERAGE(OFFSET($H$3,0,0,'Données projet'!$E$15+1,1))</f>
        <v>255.2813753128475</v>
      </c>
      <c r="EP50" s="59">
        <f t="shared" si="46"/>
        <v>317.03005098025352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4.0283348988495131</v>
      </c>
      <c r="EW50" s="21">
        <f>EXP(-LN(2)/25)*EW49+(1-EXP(-LN(2)/25))/(LN(2)/25)*Calculateur!ER50*Calculateur!ET50*VLOOKUP('Données projet'!$B$15,Paramètres!$A$1:$I$89,3,0)*0.475*44/12</f>
        <v>11.007427290262807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15.035762189112321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13.6</v>
      </c>
      <c r="N51" s="13">
        <f>IF('Données projet'!$A$36&gt;35,N50+M51-V50,IF(A51&lt;'Données projet'!$A$36,$K$205^A51,IF(A51='Données projet'!$A$36,'Données projet'!$B$36,N50+M51-V50)))</f>
        <v>246.80000000000013</v>
      </c>
      <c r="O51" s="13">
        <f>N51*VLOOKUP('Données projet'!$B$9,Paramètres!$A$1:$I$89,3,0)*VLOOKUP('Données projet'!$B$9,Paramètres!$A$1:$I$89,5,0)</f>
        <v>180.95376000000007</v>
      </c>
      <c r="P51" s="13">
        <f t="shared" si="33"/>
        <v>45.534314886343658</v>
      </c>
      <c r="Q51" s="20">
        <f t="shared" si="53"/>
        <v>394.46673042704862</v>
      </c>
      <c r="R51" s="59">
        <f t="shared" si="0"/>
        <v>687.80006376038193</v>
      </c>
      <c r="S51" s="59">
        <f ca="1">AVERAGE(OFFSET($R$3,0,0,'Données projet'!$E$9+1,1))-AVERAGE(OFFSET($H$3,0,0,'Données projet'!$E$9+1,1))</f>
        <v>193.60868637458515</v>
      </c>
      <c r="T51" s="59">
        <f t="shared" si="34"/>
        <v>272.97841038165217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</v>
      </c>
      <c r="AI51" s="13">
        <f>IF('Données projet'!$A$62&gt;35,AI50+AH51-AQ50,IF(A51&lt;'Données projet'!$A$62,$AF$205^A51,IF(A51='Données projet'!$A$62,'Données projet'!$B$62,AI50+AH51-AQ50)))</f>
        <v>243.00000000000003</v>
      </c>
      <c r="AJ51" s="13">
        <f>AI51*VLOOKUP('Données projet'!$B$10,Paramètres!$A$1:$I$89,3,0)*VLOOKUP('Données projet'!$B$10,Paramètres!$A$1:$I$89,5,0)</f>
        <v>193.33080000000004</v>
      </c>
      <c r="AK51" s="13">
        <f t="shared" si="35"/>
        <v>48.275598972103694</v>
      </c>
      <c r="AL51" s="20">
        <f t="shared" si="4"/>
        <v>420.79781154308063</v>
      </c>
      <c r="AM51" s="59">
        <f t="shared" si="5"/>
        <v>714.13114487641394</v>
      </c>
      <c r="AN51" s="59">
        <f ca="1">AVERAGE(OFFSET($AM$3,0,0,'Données projet'!$E$10+1,1))-AVERAGE(OFFSET($H$3,0,0,'Données projet'!$E$10+1,1))</f>
        <v>281.79835088425858</v>
      </c>
      <c r="AO51" s="59">
        <f t="shared" si="36"/>
        <v>345.4750813433123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209.00000000000003</v>
      </c>
      <c r="BE51" s="13">
        <f>BD51*VLOOKUP('Données projet'!$B$11,Paramètres!$A$1:$I$89,3,0)*VLOOKUP('Données projet'!$B$11,Paramètres!$A$1:$I$89,5,0)</f>
        <v>189.10320000000002</v>
      </c>
      <c r="BF51" s="13">
        <f t="shared" si="37"/>
        <v>47.34162854278712</v>
      </c>
      <c r="BG51" s="20">
        <f t="shared" si="7"/>
        <v>411.80807637868764</v>
      </c>
      <c r="BH51" s="59">
        <f t="shared" si="8"/>
        <v>705.14140971202096</v>
      </c>
      <c r="BI51" s="59">
        <f ca="1">AVERAGE(OFFSET($BH$3,0,0,'Données projet'!$E$11+1,1))-AVERAGE(OFFSET($H$3,0,0,'Données projet'!$E$11+1,1))</f>
        <v>343.6089004382095</v>
      </c>
      <c r="BJ51" s="59">
        <f t="shared" si="38"/>
        <v>278.21741231699929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10.375</v>
      </c>
      <c r="BY51" s="12">
        <f>IF('Données projet'!$A$114&gt;35,BY50+BX51-CG50,IF(A51&lt;'Données projet'!$A$114,$BV$205^A51,IF(A51='Données projet'!$A$114,'Données projet'!$B$114,BY50+BX51-CG50)))</f>
        <v>228.49999999999991</v>
      </c>
      <c r="BZ51" s="13">
        <f>BY51*VLOOKUP('Données projet'!$B$12,Paramètres!$A$1:$I$89,3,0)*VLOOKUP('Données projet'!$B$12,Paramètres!$A$1:$I$89,5,0)</f>
        <v>178.22999999999993</v>
      </c>
      <c r="CA51" s="13">
        <f t="shared" si="39"/>
        <v>44.928167580487852</v>
      </c>
      <c r="CB51" s="20">
        <f t="shared" si="10"/>
        <v>388.66714186934951</v>
      </c>
      <c r="CC51" s="59">
        <f t="shared" si="11"/>
        <v>682.00047520268276</v>
      </c>
      <c r="CD51" s="59">
        <f ca="1">AVERAGE(OFFSET($CC$3,0,0,'Données projet'!$E$12+1,1))-AVERAGE(OFFSET($H$3,0,0,'Données projet'!$E$12+1,1))</f>
        <v>288.82868507674738</v>
      </c>
      <c r="CE51" s="59">
        <f t="shared" si="40"/>
        <v>283.48738729114024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1.9036032240234515</v>
      </c>
      <c r="CM51" s="21">
        <f>EXP(-LN(2)/2)*CM50+(1-EXP(-LN(2)/2))/(LN(2)/2)*CG51*CJ51*VLOOKUP('Données projet'!$B$12,Paramètres!$A$1:$I$89,3,0)*0.475*44/12</f>
        <v>6.386928586587075E-3</v>
      </c>
      <c r="CN51" s="22">
        <f t="shared" si="12"/>
        <v>1.9099901526100387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195.00000000000003</v>
      </c>
      <c r="CU51" s="17">
        <f>CT51*VLOOKUP('Données projet'!$B$13,Paramètres!$A$1:$I$89,3,0)*VLOOKUP('Données projet'!$B$13,Paramètres!$A$1:$I$89,5,0)</f>
        <v>167.31000000000006</v>
      </c>
      <c r="CV51" s="13">
        <f t="shared" si="41"/>
        <v>42.486994942347515</v>
      </c>
      <c r="CW51" s="20">
        <f t="shared" si="13"/>
        <v>365.39643285792204</v>
      </c>
      <c r="CX51" s="59">
        <f t="shared" si="14"/>
        <v>658.72976619125529</v>
      </c>
      <c r="CY51" s="59">
        <f ca="1">AVERAGE(OFFSET($CX$3,0,0,'Données projet'!$E$13+1,1))-AVERAGE(OFFSET($H$3,0,0,'Données projet'!$E$13+1,1))</f>
        <v>273.73158910361786</v>
      </c>
      <c r="CZ51" s="59">
        <f t="shared" si="42"/>
        <v>256.77417912163997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19.2</v>
      </c>
      <c r="DO51" s="12">
        <f>IF('Données projet'!$A$166&gt;35,DO50+DN51-DW50,IF(A51&lt;'Données projet'!$A$166,$DL$205^A51,IF(A51='Données projet'!$A$166,'Données projet'!$B$166,DO50+DN51-DW50)))</f>
        <v>652.6</v>
      </c>
      <c r="DP51" s="17">
        <f>DO51*VLOOKUP('Données projet'!$B$14,Paramètres!$A$1:$I$89,3,0)*VLOOKUP('Données projet'!$B$14,Paramètres!$A$1:$I$89,5,0)</f>
        <v>364.80340000000001</v>
      </c>
      <c r="DQ51" s="13">
        <f t="shared" si="43"/>
        <v>84.60329719715169</v>
      </c>
      <c r="DR51" s="20">
        <f t="shared" si="16"/>
        <v>782.7166642850392</v>
      </c>
      <c r="DS51" s="59">
        <f t="shared" si="17"/>
        <v>1076.0499976183726</v>
      </c>
      <c r="DT51" s="59">
        <f ca="1">AVERAGE(OFFSET($DS$3,0,0,'Données projet'!$E$14+1,1))-AVERAGE(OFFSET($H$3,0,0,'Données projet'!$E$14+1,1))</f>
        <v>534.78683721545372</v>
      </c>
      <c r="DU51" s="59">
        <f t="shared" si="44"/>
        <v>710.59298755711075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3.8264163699579012</v>
      </c>
      <c r="EB51" s="21">
        <f>EXP(-LN(2)/25)*EB50+(1-EXP(-LN(2)/25))/(LN(2)/25)*Calculateur!DW51*Calculateur!DY51*VLOOKUP('Données projet'!$B$14,Paramètres!$A$1:$I$89,3,0)*0.475*44/12</f>
        <v>14.687551579686634</v>
      </c>
      <c r="EC51" s="21">
        <f>EXP(-LN(2)/2)*EC50+(1-EXP(-LN(2)/2))/(LN(2)/2)*DW51*DZ51*VLOOKUP('Données projet'!$B$14,Paramètres!$A$1:$I$89,3,0)*0.475*44/12</f>
        <v>2.2850914163447474E-2</v>
      </c>
      <c r="ED51" s="22">
        <f t="shared" si="18"/>
        <v>18.536818863807984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13.6</v>
      </c>
      <c r="EJ51" s="12">
        <f>IF('Données projet'!$A$192&gt;35,EJ50+EI51-ER50,IF(A51&lt;'Données projet'!$A$192,$EG$205^A51,IF(A51='Données projet'!$A$192,'Données projet'!$B$192,EJ50+EI51-ER50)))</f>
        <v>246.80000000000013</v>
      </c>
      <c r="EK51" s="17">
        <f>EJ51*VLOOKUP('Données projet'!$B$15,Paramètres!$A$1:$I$89,3,0)*VLOOKUP('Données projet'!$B$15,Paramètres!$A$1:$I$89,5,0)</f>
        <v>215.60448000000014</v>
      </c>
      <c r="EL51" s="13">
        <f t="shared" si="45"/>
        <v>53.158421929211947</v>
      </c>
      <c r="EM51" s="20">
        <f t="shared" si="19"/>
        <v>468.09538752671102</v>
      </c>
      <c r="EN51" s="59">
        <f t="shared" si="20"/>
        <v>761.42872086004434</v>
      </c>
      <c r="EO51" s="59">
        <f ca="1">AVERAGE(OFFSET($EN$3,0,0,'Données projet'!$E$15+1,1))-AVERAGE(OFFSET($H$3,0,0,'Données projet'!$E$15+1,1))</f>
        <v>255.2813753128475</v>
      </c>
      <c r="EP51" s="59">
        <f t="shared" si="46"/>
        <v>317.03005098025352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3.94934170852475</v>
      </c>
      <c r="EW51" s="21">
        <f>EXP(-LN(2)/25)*EW50+(1-EXP(-LN(2)/25))/(LN(2)/25)*Calculateur!ER51*Calculateur!ET51*VLOOKUP('Données projet'!$B$15,Paramètres!$A$1:$I$89,3,0)*0.475*44/12</f>
        <v>10.706428612155127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14.655770320679878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13.6</v>
      </c>
      <c r="N52" s="13">
        <f>IF('Données projet'!$A$36&gt;35,N51+M52-V51,IF(A52&lt;'Données projet'!$A$36,$K$205^A52,IF(A52='Données projet'!$A$36,'Données projet'!$B$36,N51+M52-V51)))</f>
        <v>260.40000000000015</v>
      </c>
      <c r="O52" s="13">
        <f>N52*VLOOKUP('Données projet'!$B$9,Paramètres!$A$1:$I$89,3,0)*VLOOKUP('Données projet'!$B$9,Paramètres!$A$1:$I$89,5,0)</f>
        <v>190.9252800000001</v>
      </c>
      <c r="P52" s="13">
        <f t="shared" si="33"/>
        <v>47.744461246925432</v>
      </c>
      <c r="Q52" s="20">
        <f t="shared" si="53"/>
        <v>415.68313267172863</v>
      </c>
      <c r="R52" s="59">
        <f t="shared" si="0"/>
        <v>709.01646600506194</v>
      </c>
      <c r="S52" s="59">
        <f ca="1">AVERAGE(OFFSET($R$3,0,0,'Données projet'!$E$9+1,1))-AVERAGE(OFFSET($H$3,0,0,'Données projet'!$E$9+1,1))</f>
        <v>193.60868637458515</v>
      </c>
      <c r="T52" s="59">
        <f t="shared" si="34"/>
        <v>272.97841038165217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</v>
      </c>
      <c r="AI52" s="13">
        <f>IF('Données projet'!$A$62&gt;35,AI51+AH52-AQ51,IF(A52&lt;'Données projet'!$A$62,$AF$205^A52,IF(A52='Données projet'!$A$62,'Données projet'!$B$62,AI51+AH52-AQ51)))</f>
        <v>252.00000000000003</v>
      </c>
      <c r="AJ52" s="13">
        <f>AI52*VLOOKUP('Données projet'!$B$10,Paramètres!$A$1:$I$89,3,0)*VLOOKUP('Données projet'!$B$10,Paramètres!$A$1:$I$89,5,0)</f>
        <v>200.49120000000002</v>
      </c>
      <c r="AK52" s="13">
        <f t="shared" si="35"/>
        <v>49.852103201908299</v>
      </c>
      <c r="AL52" s="20">
        <f t="shared" si="4"/>
        <v>436.01458640999027</v>
      </c>
      <c r="AM52" s="59">
        <f t="shared" si="5"/>
        <v>729.34791974332359</v>
      </c>
      <c r="AN52" s="59">
        <f ca="1">AVERAGE(OFFSET($AM$3,0,0,'Données projet'!$E$10+1,1))-AVERAGE(OFFSET($H$3,0,0,'Données projet'!$E$10+1,1))</f>
        <v>281.79835088425858</v>
      </c>
      <c r="AO52" s="59">
        <f t="shared" si="36"/>
        <v>345.4750813433123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220.00000000000003</v>
      </c>
      <c r="BE52" s="13">
        <f>BD52*VLOOKUP('Données projet'!$B$11,Paramètres!$A$1:$I$89,3,0)*VLOOKUP('Données projet'!$B$11,Paramètres!$A$1:$I$89,5,0)</f>
        <v>199.05600000000001</v>
      </c>
      <c r="BF52" s="13">
        <f t="shared" si="37"/>
        <v>49.536648006253934</v>
      </c>
      <c r="BG52" s="20">
        <f t="shared" si="7"/>
        <v>432.96552861089231</v>
      </c>
      <c r="BH52" s="59">
        <f t="shared" si="8"/>
        <v>726.29886194422556</v>
      </c>
      <c r="BI52" s="59">
        <f ca="1">AVERAGE(OFFSET($BH$3,0,0,'Données projet'!$E$11+1,1))-AVERAGE(OFFSET($H$3,0,0,'Données projet'!$E$11+1,1))</f>
        <v>343.6089004382095</v>
      </c>
      <c r="BJ52" s="59">
        <f t="shared" si="38"/>
        <v>278.21741231699929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10.375</v>
      </c>
      <c r="BY52" s="12">
        <f>IF('Données projet'!$A$114&gt;35,BY51+BX52-CG51,IF(A52&lt;'Données projet'!$A$114,$BV$205^A52,IF(A52='Données projet'!$A$114,'Données projet'!$B$114,BY51+BX52-CG51)))</f>
        <v>238.87499999999991</v>
      </c>
      <c r="BZ52" s="13">
        <f>BY52*VLOOKUP('Données projet'!$B$12,Paramètres!$A$1:$I$89,3,0)*VLOOKUP('Données projet'!$B$12,Paramètres!$A$1:$I$89,5,0)</f>
        <v>186.32249999999993</v>
      </c>
      <c r="CA52" s="13">
        <f t="shared" si="39"/>
        <v>46.725987276254116</v>
      </c>
      <c r="CB52" s="20">
        <f t="shared" si="10"/>
        <v>405.8927820061424</v>
      </c>
      <c r="CC52" s="59">
        <f t="shared" si="11"/>
        <v>699.22611533947565</v>
      </c>
      <c r="CD52" s="59">
        <f ca="1">AVERAGE(OFFSET($CC$3,0,0,'Données projet'!$E$12+1,1))-AVERAGE(OFFSET($H$3,0,0,'Données projet'!$E$12+1,1))</f>
        <v>288.82868507674738</v>
      </c>
      <c r="CE52" s="59">
        <f t="shared" si="40"/>
        <v>283.48738729114024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1.8515490937563874</v>
      </c>
      <c r="CM52" s="21">
        <f>EXP(-LN(2)/2)*CM51+(1-EXP(-LN(2)/2))/(LN(2)/2)*CG52*CJ52*VLOOKUP('Données projet'!$B$12,Paramètres!$A$1:$I$89,3,0)*0.475*44/12</f>
        <v>4.516240514529932E-3</v>
      </c>
      <c r="CN52" s="22">
        <f t="shared" si="12"/>
        <v>1.8560653342709175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206.00000000000003</v>
      </c>
      <c r="CU52" s="17">
        <f>CT52*VLOOKUP('Données projet'!$B$13,Paramètres!$A$1:$I$89,3,0)*VLOOKUP('Données projet'!$B$13,Paramètres!$A$1:$I$89,5,0)</f>
        <v>176.74800000000005</v>
      </c>
      <c r="CV52" s="13">
        <f t="shared" si="41"/>
        <v>44.597910160550732</v>
      </c>
      <c r="CW52" s="20">
        <f t="shared" si="13"/>
        <v>385.51079352962591</v>
      </c>
      <c r="CX52" s="59">
        <f t="shared" si="14"/>
        <v>678.84412686295923</v>
      </c>
      <c r="CY52" s="59">
        <f ca="1">AVERAGE(OFFSET($CX$3,0,0,'Données projet'!$E$13+1,1))-AVERAGE(OFFSET($H$3,0,0,'Données projet'!$E$13+1,1))</f>
        <v>273.73158910361786</v>
      </c>
      <c r="CZ52" s="59">
        <f t="shared" si="42"/>
        <v>256.77417912163997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19.2</v>
      </c>
      <c r="DO52" s="12">
        <f>IF('Données projet'!$A$166&gt;35,DO51+DN52-DW51,IF(A52&lt;'Données projet'!$A$166,$DL$205^A52,IF(A52='Données projet'!$A$166,'Données projet'!$B$166,DO51+DN52-DW51)))</f>
        <v>671.80000000000007</v>
      </c>
      <c r="DP52" s="17">
        <f>DO52*VLOOKUP('Données projet'!$B$14,Paramètres!$A$1:$I$89,3,0)*VLOOKUP('Données projet'!$B$14,Paramètres!$A$1:$I$89,5,0)</f>
        <v>375.53620000000006</v>
      </c>
      <c r="DQ52" s="13">
        <f t="shared" si="43"/>
        <v>86.798936069371663</v>
      </c>
      <c r="DR52" s="20">
        <f t="shared" si="16"/>
        <v>805.23369532082245</v>
      </c>
      <c r="DS52" s="59">
        <f t="shared" si="17"/>
        <v>1098.5670286541558</v>
      </c>
      <c r="DT52" s="59">
        <f ca="1">AVERAGE(OFFSET($DS$3,0,0,'Données projet'!$E$14+1,1))-AVERAGE(OFFSET($H$3,0,0,'Données projet'!$E$14+1,1))</f>
        <v>534.78683721545372</v>
      </c>
      <c r="DU52" s="59">
        <f t="shared" si="44"/>
        <v>710.59298755711075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3.7513826788265607</v>
      </c>
      <c r="EB52" s="21">
        <f>EXP(-LN(2)/25)*EB51+(1-EXP(-LN(2)/25))/(LN(2)/25)*Calculateur!DW52*Calculateur!DY52*VLOOKUP('Données projet'!$B$14,Paramètres!$A$1:$I$89,3,0)*0.475*44/12</f>
        <v>14.285919709355333</v>
      </c>
      <c r="EC52" s="21">
        <f>EXP(-LN(2)/2)*EC51+(1-EXP(-LN(2)/2))/(LN(2)/2)*DW52*DZ52*VLOOKUP('Données projet'!$B$14,Paramètres!$A$1:$I$89,3,0)*0.475*44/12</f>
        <v>1.6158036361285433E-2</v>
      </c>
      <c r="ED52" s="22">
        <f t="shared" si="18"/>
        <v>18.053460424543179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13.6</v>
      </c>
      <c r="EJ52" s="12">
        <f>IF('Données projet'!$A$192&gt;35,EJ51+EI52-ER51,IF(A52&lt;'Données projet'!$A$192,$EG$205^A52,IF(A52='Données projet'!$A$192,'Données projet'!$B$192,EJ51+EI52-ER51)))</f>
        <v>260.40000000000015</v>
      </c>
      <c r="EK52" s="17">
        <f>EJ52*VLOOKUP('Données projet'!$B$15,Paramètres!$A$1:$I$89,3,0)*VLOOKUP('Données projet'!$B$15,Paramètres!$A$1:$I$89,5,0)</f>
        <v>227.48544000000015</v>
      </c>
      <c r="EL52" s="13">
        <f t="shared" si="45"/>
        <v>55.738627496252427</v>
      </c>
      <c r="EM52" s="20">
        <f t="shared" si="19"/>
        <v>493.28191755597322</v>
      </c>
      <c r="EN52" s="59">
        <f t="shared" si="20"/>
        <v>786.61525088930648</v>
      </c>
      <c r="EO52" s="59">
        <f ca="1">AVERAGE(OFFSET($EN$3,0,0,'Données projet'!$E$15+1,1))-AVERAGE(OFFSET($H$3,0,0,'Données projet'!$E$15+1,1))</f>
        <v>255.2813753128475</v>
      </c>
      <c r="EP52" s="59">
        <f t="shared" si="46"/>
        <v>317.03005098025352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3.8718975264811668</v>
      </c>
      <c r="EW52" s="21">
        <f>EXP(-LN(2)/25)*EW51+(1-EXP(-LN(2)/25))/(LN(2)/25)*Calculateur!ER52*Calculateur!ET52*VLOOKUP('Données projet'!$B$15,Paramètres!$A$1:$I$89,3,0)*0.475*44/12</f>
        <v>10.413660758729135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14.285558285210302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274</v>
      </c>
      <c r="L53" s="12">
        <f>VLOOKUP(A53,'Données projet'!$A$35:$I$55,9,0)</f>
        <v>13.6</v>
      </c>
      <c r="M53" s="12">
        <f t="array" ref="M53">INDEX(L:L,MIN(IF(ISNUMBER(L53:L249),ROW(L53:L249),"")))</f>
        <v>13.6</v>
      </c>
      <c r="N53" s="13">
        <f>IF('Données projet'!$A$36&gt;35,N52+M53-V52,IF(A53&lt;'Données projet'!$A$36,$K$205^A53,IF(A53='Données projet'!$A$36,'Données projet'!$B$36,N52+M53-V52)))</f>
        <v>274.00000000000017</v>
      </c>
      <c r="O53" s="13">
        <f>N53*VLOOKUP('Données projet'!$B$9,Paramètres!$A$1:$I$89,3,0)*VLOOKUP('Données projet'!$B$9,Paramètres!$A$1:$I$89,5,0)</f>
        <v>200.89680000000016</v>
      </c>
      <c r="P53" s="13">
        <f t="shared" si="33"/>
        <v>49.941205873360261</v>
      </c>
      <c r="Q53" s="20">
        <f t="shared" si="53"/>
        <v>436.8761935627694</v>
      </c>
      <c r="R53" s="59">
        <f t="shared" si="0"/>
        <v>730.20952689610272</v>
      </c>
      <c r="S53" s="59">
        <f ca="1">AVERAGE(OFFSET($R$3,0,0,'Données projet'!$E$9+1,1))-AVERAGE(OFFSET($H$3,0,0,'Données projet'!$E$9+1,1))</f>
        <v>193.60868637458515</v>
      </c>
      <c r="T53" s="59">
        <f t="shared" si="34"/>
        <v>272.97841038165217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274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261</v>
      </c>
      <c r="AG53" s="12">
        <f>VLOOKUP(A53,'Données projet'!$A$61:$I$81,9,0)</f>
        <v>9</v>
      </c>
      <c r="AH53" s="12">
        <f t="array" ref="AH53">INDEX(AG:AG,MIN(IF(ISNUMBER(AG53:AG249),ROW(AG53:AG249),"")))</f>
        <v>9</v>
      </c>
      <c r="AI53" s="13">
        <f>IF('Données projet'!$A$62&gt;35,AI52+AH53-AQ52,IF(A53&lt;'Données projet'!$A$62,$AF$205^A53,IF(A53='Données projet'!$A$62,'Données projet'!$B$62,AI52+AH53-AQ52)))</f>
        <v>261</v>
      </c>
      <c r="AJ53" s="13">
        <f>AI53*VLOOKUP('Données projet'!$B$10,Paramètres!$A$1:$I$89,3,0)*VLOOKUP('Données projet'!$B$10,Paramètres!$A$1:$I$89,5,0)</f>
        <v>207.65160000000003</v>
      </c>
      <c r="AK53" s="13">
        <f t="shared" si="35"/>
        <v>51.422065813018108</v>
      </c>
      <c r="AL53" s="20">
        <f t="shared" si="4"/>
        <v>451.21996795767319</v>
      </c>
      <c r="AM53" s="59">
        <f t="shared" si="5"/>
        <v>744.55330129100651</v>
      </c>
      <c r="AN53" s="59">
        <f ca="1">AVERAGE(OFFSET($AM$3,0,0,'Données projet'!$E$10+1,1))-AVERAGE(OFFSET($H$3,0,0,'Données projet'!$E$10+1,1))</f>
        <v>281.79835088425858</v>
      </c>
      <c r="AO53" s="59">
        <f t="shared" si="36"/>
        <v>345.4750813433123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19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231.00000000000003</v>
      </c>
      <c r="BE53" s="13">
        <f>BD53*VLOOKUP('Données projet'!$B$11,Paramètres!$A$1:$I$89,3,0)*VLOOKUP('Données projet'!$B$11,Paramètres!$A$1:$I$89,5,0)</f>
        <v>209.00880000000004</v>
      </c>
      <c r="BF53" s="13">
        <f t="shared" si="37"/>
        <v>51.718923953824252</v>
      </c>
      <c r="BG53" s="20">
        <f t="shared" si="7"/>
        <v>454.10078588624395</v>
      </c>
      <c r="BH53" s="59">
        <f t="shared" si="8"/>
        <v>747.43411921957727</v>
      </c>
      <c r="BI53" s="59">
        <f ca="1">AVERAGE(OFFSET($BH$3,0,0,'Données projet'!$E$11+1,1))-AVERAGE(OFFSET($H$3,0,0,'Données projet'!$E$11+1,1))</f>
        <v>343.6089004382095</v>
      </c>
      <c r="BJ53" s="59">
        <f t="shared" si="38"/>
        <v>278.21741231699929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10.375</v>
      </c>
      <c r="BY53" s="12">
        <f>IF('Données projet'!$A$114&gt;35,BY52+BX53-CG52,IF(A53&lt;'Données projet'!$A$114,$BV$205^A53,IF(A53='Données projet'!$A$114,'Données projet'!$B$114,BY52+BX53-CG52)))</f>
        <v>249.24999999999991</v>
      </c>
      <c r="BZ53" s="13">
        <f>BY53*VLOOKUP('Données projet'!$B$12,Paramètres!$A$1:$I$89,3,0)*VLOOKUP('Données projet'!$B$12,Paramètres!$A$1:$I$89,5,0)</f>
        <v>194.41499999999994</v>
      </c>
      <c r="CA53" s="13">
        <f t="shared" si="39"/>
        <v>48.514737888684927</v>
      </c>
      <c r="CB53" s="20">
        <f t="shared" si="10"/>
        <v>423.10262682279273</v>
      </c>
      <c r="CC53" s="59">
        <f t="shared" si="11"/>
        <v>716.43596015612604</v>
      </c>
      <c r="CD53" s="59">
        <f ca="1">AVERAGE(OFFSET($CC$3,0,0,'Données projet'!$E$12+1,1))-AVERAGE(OFFSET($H$3,0,0,'Données projet'!$E$12+1,1))</f>
        <v>288.82868507674738</v>
      </c>
      <c r="CE53" s="59">
        <f t="shared" si="40"/>
        <v>283.48738729114024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1.800918386418884</v>
      </c>
      <c r="CM53" s="21">
        <f>EXP(-LN(2)/2)*CM52+(1-EXP(-LN(2)/2))/(LN(2)/2)*CG53*CJ53*VLOOKUP('Données projet'!$B$12,Paramètres!$A$1:$I$89,3,0)*0.475*44/12</f>
        <v>3.1934642932935375E-3</v>
      </c>
      <c r="CN53" s="22">
        <f t="shared" si="12"/>
        <v>1.8041118507121776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217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217.00000000000003</v>
      </c>
      <c r="CU53" s="17">
        <f>CT53*VLOOKUP('Données projet'!$B$13,Paramètres!$A$1:$I$89,3,0)*VLOOKUP('Données projet'!$B$13,Paramètres!$A$1:$I$89,5,0)</f>
        <v>186.18600000000004</v>
      </c>
      <c r="CV53" s="13">
        <f t="shared" si="41"/>
        <v>46.69573903947046</v>
      </c>
      <c r="CW53" s="20">
        <f t="shared" si="13"/>
        <v>405.60236216041108</v>
      </c>
      <c r="CX53" s="59">
        <f t="shared" si="14"/>
        <v>698.93569549374433</v>
      </c>
      <c r="CY53" s="59">
        <f ca="1">AVERAGE(OFFSET($CX$3,0,0,'Données projet'!$E$13+1,1))-AVERAGE(OFFSET($H$3,0,0,'Données projet'!$E$13+1,1))</f>
        <v>273.73158910361786</v>
      </c>
      <c r="CZ53" s="59">
        <f t="shared" si="42"/>
        <v>256.77417912163997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691</v>
      </c>
      <c r="DM53" s="12">
        <f>VLOOKUP(A53,'Données projet'!$A$165:$I$185,9,0)</f>
        <v>19.2</v>
      </c>
      <c r="DN53" s="12">
        <f t="array" ref="DN53">INDEX(DM:DM,MIN(IF(ISNUMBER(DM53:DM249),ROW(DM53:DM249),"")))</f>
        <v>19.2</v>
      </c>
      <c r="DO53" s="12">
        <f>IF('Données projet'!$A$166&gt;35,DO52+DN53-DW52,IF(A53&lt;'Données projet'!$A$166,$DL$205^A53,IF(A53='Données projet'!$A$166,'Données projet'!$B$166,DO52+DN53-DW52)))</f>
        <v>691.00000000000011</v>
      </c>
      <c r="DP53" s="17">
        <f>DO53*VLOOKUP('Données projet'!$B$14,Paramètres!$A$1:$I$89,3,0)*VLOOKUP('Données projet'!$B$14,Paramètres!$A$1:$I$89,5,0)</f>
        <v>386.26900000000006</v>
      </c>
      <c r="DQ53" s="13">
        <f t="shared" si="43"/>
        <v>88.987281787109026</v>
      </c>
      <c r="DR53" s="20">
        <f t="shared" si="16"/>
        <v>827.73802411254826</v>
      </c>
      <c r="DS53" s="59">
        <f t="shared" si="17"/>
        <v>1121.0713574458816</v>
      </c>
      <c r="DT53" s="59">
        <f ca="1">AVERAGE(OFFSET($DS$3,0,0,'Données projet'!$E$14+1,1))-AVERAGE(OFFSET($H$3,0,0,'Données projet'!$E$14+1,1))</f>
        <v>534.78683721545372</v>
      </c>
      <c r="DU53" s="59">
        <f t="shared" si="44"/>
        <v>710.59298755711075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75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3.6778203526122732</v>
      </c>
      <c r="EB53" s="21">
        <f>EXP(-LN(2)/25)*EB52+(1-EXP(-LN(2)/25))/(LN(2)/25)*Calculateur!DW53*Calculateur!DY53*VLOOKUP('Données projet'!$B$14,Paramètres!$A$1:$I$89,3,0)*0.475*44/12</f>
        <v>13.895270483639145</v>
      </c>
      <c r="EC53" s="21">
        <f>EXP(-LN(2)/2)*EC52+(1-EXP(-LN(2)/2))/(LN(2)/2)*DW53*DZ53*VLOOKUP('Données projet'!$B$14,Paramètres!$A$1:$I$89,3,0)*0.475*44/12</f>
        <v>1.1425457081723737E-2</v>
      </c>
      <c r="ED53" s="22">
        <f t="shared" si="18"/>
        <v>17.584516293333142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274</v>
      </c>
      <c r="EH53" s="12">
        <f>VLOOKUP(A53,'Données projet'!$A$191:$I$211,9,0)</f>
        <v>13.6</v>
      </c>
      <c r="EI53" s="12">
        <f t="array" ref="EI53">INDEX(EH:EH,MIN(IF(ISNUMBER(EH53:EH249),ROW(EH53:EH249),"")))</f>
        <v>13.6</v>
      </c>
      <c r="EJ53" s="12">
        <f>IF('Données projet'!$A$192&gt;35,EJ52+EI53-ER52,IF(A53&lt;'Données projet'!$A$192,$EG$205^A53,IF(A53='Données projet'!$A$192,'Données projet'!$B$192,EJ52+EI53-ER52)))</f>
        <v>274.00000000000017</v>
      </c>
      <c r="EK53" s="17">
        <f>EJ53*VLOOKUP('Données projet'!$B$15,Paramètres!$A$1:$I$89,3,0)*VLOOKUP('Données projet'!$B$15,Paramètres!$A$1:$I$89,5,0)</f>
        <v>239.36640000000017</v>
      </c>
      <c r="EL53" s="13">
        <f t="shared" si="45"/>
        <v>58.303187389472029</v>
      </c>
      <c r="EM53" s="20">
        <f t="shared" si="19"/>
        <v>518.4411980366641</v>
      </c>
      <c r="EN53" s="59">
        <f t="shared" si="20"/>
        <v>811.77453136999748</v>
      </c>
      <c r="EO53" s="59">
        <f ca="1">AVERAGE(OFFSET($EN$3,0,0,'Données projet'!$E$15+1,1))-AVERAGE(OFFSET($H$3,0,0,'Données projet'!$E$15+1,1))</f>
        <v>255.2813753128475</v>
      </c>
      <c r="EP53" s="59">
        <f t="shared" si="46"/>
        <v>317.03005098025352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35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3.7959719776111713</v>
      </c>
      <c r="EW53" s="21">
        <f>EXP(-LN(2)/25)*EW52+(1-EXP(-LN(2)/25))/(LN(2)/25)*Calculateur!ER53*Calculateur!ET53*VLOOKUP('Données projet'!$B$15,Paramètres!$A$1:$I$89,3,0)*0.475*44/12</f>
        <v>10.128898657651067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13.924870635262238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1.7053025658242404E-13</v>
      </c>
      <c r="O54" s="13">
        <f>N54*VLOOKUP('Données projet'!$B$9,Paramètres!$A$1:$I$89,3,0)*VLOOKUP('Données projet'!$B$9,Paramètres!$A$1:$I$89,5,0)</f>
        <v>1.250327841262333E-13</v>
      </c>
      <c r="P54" s="13">
        <f t="shared" si="33"/>
        <v>1.8301318724634299E-12</v>
      </c>
      <c r="Q54" s="20">
        <f t="shared" si="53"/>
        <v>3.405245110226996E-12</v>
      </c>
      <c r="R54" s="59">
        <f t="shared" si="0"/>
        <v>293.33333333333672</v>
      </c>
      <c r="S54" s="59">
        <f ca="1">AVERAGE(OFFSET($R$3,0,0,'Données projet'!$E$9+1,1))-AVERAGE(OFFSET($H$3,0,0,'Données projet'!$E$9+1,1))</f>
        <v>193.60868637458515</v>
      </c>
      <c r="T54" s="59">
        <f t="shared" si="34"/>
        <v>272.97841038165217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249.39999999999998</v>
      </c>
      <c r="AJ54" s="13">
        <f>AI54*VLOOKUP('Données projet'!$B$10,Paramètres!$A$1:$I$89,3,0)*VLOOKUP('Données projet'!$B$10,Paramètres!$A$1:$I$89,5,0)</f>
        <v>198.42264</v>
      </c>
      <c r="AK54" s="13">
        <f t="shared" si="35"/>
        <v>49.397352151183256</v>
      </c>
      <c r="AL54" s="20">
        <f t="shared" si="4"/>
        <v>431.61981966331086</v>
      </c>
      <c r="AM54" s="59">
        <f t="shared" si="5"/>
        <v>724.95315299664412</v>
      </c>
      <c r="AN54" s="59">
        <f ca="1">AVERAGE(OFFSET($AM$3,0,0,'Données projet'!$E$10+1,1))-AVERAGE(OFFSET($H$3,0,0,'Données projet'!$E$10+1,1))</f>
        <v>281.79835088425858</v>
      </c>
      <c r="AO54" s="59">
        <f t="shared" si="36"/>
        <v>345.4750813433123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213.20000000000002</v>
      </c>
      <c r="BE54" s="13">
        <f>BD54*VLOOKUP('Données projet'!$B$11,Paramètres!$A$1:$I$89,3,0)*VLOOKUP('Données projet'!$B$11,Paramètres!$A$1:$I$89,5,0)</f>
        <v>192.90336000000002</v>
      </c>
      <c r="BF54" s="13">
        <f t="shared" si="37"/>
        <v>48.181276881765257</v>
      </c>
      <c r="BG54" s="20">
        <f t="shared" si="7"/>
        <v>419.88907590240791</v>
      </c>
      <c r="BH54" s="59">
        <f t="shared" si="8"/>
        <v>713.22240923574122</v>
      </c>
      <c r="BI54" s="59">
        <f ca="1">AVERAGE(OFFSET($BH$3,0,0,'Données projet'!$E$11+1,1))-AVERAGE(OFFSET($H$3,0,0,'Données projet'!$E$11+1,1))</f>
        <v>343.6089004382095</v>
      </c>
      <c r="BJ54" s="59">
        <f t="shared" si="38"/>
        <v>278.21741231699929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10.375</v>
      </c>
      <c r="BY54" s="12">
        <f>IF('Données projet'!$A$114&gt;35,BY53+BX54-CG53,IF(A54&lt;'Données projet'!$A$114,$BV$205^A54,IF(A54='Données projet'!$A$114,'Données projet'!$B$114,BY53+BX54-CG53)))</f>
        <v>259.62499999999989</v>
      </c>
      <c r="BZ54" s="13">
        <f>BY54*VLOOKUP('Données projet'!$B$12,Paramètres!$A$1:$I$89,3,0)*VLOOKUP('Données projet'!$B$12,Paramètres!$A$1:$I$89,5,0)</f>
        <v>202.50749999999991</v>
      </c>
      <c r="CA54" s="13">
        <f t="shared" si="39"/>
        <v>50.294840086606349</v>
      </c>
      <c r="CB54" s="20">
        <f t="shared" si="10"/>
        <v>440.29740898417253</v>
      </c>
      <c r="CC54" s="59">
        <f t="shared" si="11"/>
        <v>733.63074231750579</v>
      </c>
      <c r="CD54" s="59">
        <f ca="1">AVERAGE(OFFSET($CC$3,0,0,'Données projet'!$E$12+1,1))-AVERAGE(OFFSET($H$3,0,0,'Données projet'!$E$12+1,1))</f>
        <v>288.82868507674738</v>
      </c>
      <c r="CE54" s="59">
        <f t="shared" si="40"/>
        <v>283.48738729114024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1.7516721784360778</v>
      </c>
      <c r="CM54" s="21">
        <f>EXP(-LN(2)/2)*CM53+(1-EXP(-LN(2)/2))/(LN(2)/2)*CG54*CJ54*VLOOKUP('Données projet'!$B$12,Paramètres!$A$1:$I$89,3,0)*0.475*44/12</f>
        <v>2.258120257264966E-3</v>
      </c>
      <c r="CN54" s="22">
        <f t="shared" si="12"/>
        <v>1.7539302986933427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11</v>
      </c>
      <c r="CT54" s="12">
        <f>IF('Données projet'!$A$140&gt;35,CT53+CS54-DB53,IF(A54&lt;'Données projet'!$A$140,$CQ$205^A54,IF(A54='Données projet'!$A$140,'Données projet'!$B$140,CT53+CS54-DB53)))</f>
        <v>200.00000000000003</v>
      </c>
      <c r="CU54" s="17">
        <f>CT54*VLOOKUP('Données projet'!$B$13,Paramètres!$A$1:$I$89,3,0)*VLOOKUP('Données projet'!$B$13,Paramètres!$A$1:$I$89,5,0)</f>
        <v>171.60000000000005</v>
      </c>
      <c r="CV54" s="13">
        <f t="shared" si="41"/>
        <v>43.44817475464852</v>
      </c>
      <c r="CW54" s="20">
        <f t="shared" si="13"/>
        <v>374.54223769767958</v>
      </c>
      <c r="CX54" s="59">
        <f t="shared" si="14"/>
        <v>667.8755710310129</v>
      </c>
      <c r="CY54" s="59">
        <f ca="1">AVERAGE(OFFSET($CX$3,0,0,'Données projet'!$E$13+1,1))-AVERAGE(OFFSET($H$3,0,0,'Données projet'!$E$13+1,1))</f>
        <v>273.73158910361786</v>
      </c>
      <c r="CZ54" s="59">
        <f t="shared" si="42"/>
        <v>256.77417912163997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17.8</v>
      </c>
      <c r="DO54" s="12">
        <f>IF('Données projet'!$A$166&gt;35,DO53+DN54-DW53,IF(A54&lt;'Données projet'!$A$166,$DL$205^A54,IF(A54='Données projet'!$A$166,'Données projet'!$B$166,DO53+DN54-DW53)))</f>
        <v>633.80000000000007</v>
      </c>
      <c r="DP54" s="17">
        <f>DO54*VLOOKUP('Données projet'!$B$14,Paramètres!$A$1:$I$89,3,0)*VLOOKUP('Données projet'!$B$14,Paramètres!$A$1:$I$89,5,0)</f>
        <v>354.2942000000001</v>
      </c>
      <c r="DQ54" s="13">
        <f t="shared" si="43"/>
        <v>82.446103089690695</v>
      </c>
      <c r="DR54" s="20">
        <f t="shared" si="16"/>
        <v>760.65602788121134</v>
      </c>
      <c r="DS54" s="59">
        <f t="shared" si="17"/>
        <v>1053.9893612145447</v>
      </c>
      <c r="DT54" s="59">
        <f ca="1">AVERAGE(OFFSET($DS$3,0,0,'Données projet'!$E$14+1,1))-AVERAGE(OFFSET($H$3,0,0,'Données projet'!$E$14+1,1))</f>
        <v>534.78683721545372</v>
      </c>
      <c r="DU54" s="59">
        <f t="shared" si="44"/>
        <v>710.59298755711075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3.6057005387464591</v>
      </c>
      <c r="EB54" s="21">
        <f>EXP(-LN(2)/25)*EB53+(1-EXP(-LN(2)/25))/(LN(2)/25)*Calculateur!DW54*Calculateur!DY54*VLOOKUP('Données projet'!$B$14,Paramètres!$A$1:$I$89,3,0)*0.475*44/12</f>
        <v>13.515303581543515</v>
      </c>
      <c r="EC54" s="21">
        <f>EXP(-LN(2)/2)*EC53+(1-EXP(-LN(2)/2))/(LN(2)/2)*DW54*DZ54*VLOOKUP('Données projet'!$B$14,Paramètres!$A$1:$I$89,3,0)*0.475*44/12</f>
        <v>8.0790181806427164E-3</v>
      </c>
      <c r="ED54" s="22">
        <f t="shared" si="18"/>
        <v>17.129083138470616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13.4</v>
      </c>
      <c r="EJ54" s="12">
        <f>IF('Données projet'!$A$192&gt;35,EJ53+EI54-ER53,IF(A54&lt;'Données projet'!$A$192,$EG$205^A54,IF(A54='Données projet'!$A$192,'Données projet'!$B$192,EJ53+EI54-ER53)))</f>
        <v>252.40000000000015</v>
      </c>
      <c r="EK54" s="17">
        <f>EJ54*VLOOKUP('Données projet'!$B$15,Paramètres!$A$1:$I$89,3,0)*VLOOKUP('Données projet'!$B$15,Paramètres!$A$1:$I$89,5,0)</f>
        <v>220.49664000000018</v>
      </c>
      <c r="EL54" s="13">
        <f t="shared" si="45"/>
        <v>54.222813800824966</v>
      </c>
      <c r="EM54" s="20">
        <f t="shared" si="19"/>
        <v>478.46971536977048</v>
      </c>
      <c r="EN54" s="59">
        <f t="shared" si="20"/>
        <v>771.80304870310374</v>
      </c>
      <c r="EO54" s="59">
        <f ca="1">AVERAGE(OFFSET($EN$3,0,0,'Données projet'!$E$15+1,1))-AVERAGE(OFFSET($H$3,0,0,'Données projet'!$E$15+1,1))</f>
        <v>255.2813753128475</v>
      </c>
      <c r="EP54" s="59">
        <f t="shared" si="46"/>
        <v>317.03005098025352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3.7215352824445045</v>
      </c>
      <c r="EW54" s="21">
        <f>EXP(-LN(2)/25)*EW53+(1-EXP(-LN(2)/25))/(LN(2)/25)*Calculateur!ER54*Calculateur!ET54*VLOOKUP('Données projet'!$B$15,Paramètres!$A$1:$I$89,3,0)*0.475*44/12</f>
        <v>9.8519233912019679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13.573458673646472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1.7053025658242404E-13</v>
      </c>
      <c r="O55" s="13">
        <f>N55*VLOOKUP('Données projet'!$B$9,Paramètres!$A$1:$I$89,3,0)*VLOOKUP('Données projet'!$B$9,Paramètres!$A$1:$I$89,5,0)</f>
        <v>1.250327841262333E-13</v>
      </c>
      <c r="P55" s="13">
        <f t="shared" si="33"/>
        <v>1.8301318724634299E-12</v>
      </c>
      <c r="Q55" s="20">
        <f t="shared" si="53"/>
        <v>3.405245110226996E-12</v>
      </c>
      <c r="R55" s="59">
        <f t="shared" si="0"/>
        <v>293.33333333333672</v>
      </c>
      <c r="S55" s="59">
        <f ca="1">AVERAGE(OFFSET($R$3,0,0,'Données projet'!$E$9+1,1))-AVERAGE(OFFSET($H$3,0,0,'Données projet'!$E$9+1,1))</f>
        <v>193.60868637458515</v>
      </c>
      <c r="T55" s="59">
        <f t="shared" si="34"/>
        <v>272.97841038165217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256.79999999999995</v>
      </c>
      <c r="AJ55" s="13">
        <f>AI55*VLOOKUP('Données projet'!$B$10,Paramètres!$A$1:$I$89,3,0)*VLOOKUP('Données projet'!$B$10,Paramètres!$A$1:$I$89,5,0)</f>
        <v>204.31008</v>
      </c>
      <c r="AK55" s="13">
        <f t="shared" si="35"/>
        <v>50.690214235398379</v>
      </c>
      <c r="AL55" s="20">
        <f t="shared" si="4"/>
        <v>444.12551245998549</v>
      </c>
      <c r="AM55" s="59">
        <f t="shared" si="5"/>
        <v>737.4588457933188</v>
      </c>
      <c r="AN55" s="59">
        <f ca="1">AVERAGE(OFFSET($AM$3,0,0,'Données projet'!$E$10+1,1))-AVERAGE(OFFSET($H$3,0,0,'Données projet'!$E$10+1,1))</f>
        <v>281.79835088425858</v>
      </c>
      <c r="AO55" s="59">
        <f t="shared" si="36"/>
        <v>345.4750813433123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223.4</v>
      </c>
      <c r="BE55" s="13">
        <f>BD55*VLOOKUP('Données projet'!$B$11,Paramètres!$A$1:$I$89,3,0)*VLOOKUP('Données projet'!$B$11,Paramètres!$A$1:$I$89,5,0)</f>
        <v>202.13232000000002</v>
      </c>
      <c r="BF55" s="13">
        <f t="shared" si="37"/>
        <v>50.212497488959627</v>
      </c>
      <c r="BG55" s="20">
        <f t="shared" si="7"/>
        <v>439.50055712660469</v>
      </c>
      <c r="BH55" s="59">
        <f t="shared" si="8"/>
        <v>732.83389045993795</v>
      </c>
      <c r="BI55" s="59">
        <f ca="1">AVERAGE(OFFSET($BH$3,0,0,'Données projet'!$E$11+1,1))-AVERAGE(OFFSET($H$3,0,0,'Données projet'!$E$11+1,1))</f>
        <v>343.6089004382095</v>
      </c>
      <c r="BJ55" s="59">
        <f t="shared" si="38"/>
        <v>278.21741231699929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270</v>
      </c>
      <c r="BW55" s="12">
        <f>VLOOKUP(A55,'Données projet'!$A$113:$I$133,9,0)</f>
        <v>10.375</v>
      </c>
      <c r="BX55" s="12">
        <f t="array" ref="BX55">INDEX(BW:BW,MIN(IF(ISNUMBER(BW55:BW251),ROW(BW55:BW251),"")))</f>
        <v>10.375</v>
      </c>
      <c r="BY55" s="12">
        <f>IF('Données projet'!$A$114&gt;35,BY54+BX55-CG54,IF(A55&lt;'Données projet'!$A$114,$BV$205^A55,IF(A55='Données projet'!$A$114,'Données projet'!$B$114,BY54+BX55-CG54)))</f>
        <v>269.99999999999989</v>
      </c>
      <c r="BZ55" s="13">
        <f>BY55*VLOOKUP('Données projet'!$B$12,Paramètres!$A$1:$I$89,3,0)*VLOOKUP('Données projet'!$B$12,Paramètres!$A$1:$I$89,5,0)</f>
        <v>210.59999999999991</v>
      </c>
      <c r="CA55" s="13">
        <f t="shared" si="39"/>
        <v>52.066679014659961</v>
      </c>
      <c r="CB55" s="20">
        <f t="shared" si="10"/>
        <v>457.47779928386586</v>
      </c>
      <c r="CC55" s="59">
        <f t="shared" si="11"/>
        <v>750.81113261719918</v>
      </c>
      <c r="CD55" s="59">
        <f ca="1">AVERAGE(OFFSET($CC$3,0,0,'Données projet'!$E$12+1,1))-AVERAGE(OFFSET($H$3,0,0,'Données projet'!$E$12+1,1))</f>
        <v>288.82868507674738</v>
      </c>
      <c r="CE55" s="59">
        <f t="shared" si="40"/>
        <v>283.48738729114024</v>
      </c>
      <c r="CF55" s="15">
        <f>IF(ISNA(VLOOKUP(A55,'Données projet'!$A$113:$I$133,3,0)),0,VLOOKUP(A55,'Données projet'!$A$113:$I$133,3,0))</f>
        <v>7</v>
      </c>
      <c r="CG55" s="15">
        <f>IF(ISNA(VLOOKUP(A55,'Données projet'!$A$113:$I$133,4,0)),0,VLOOKUP(A55,'Données projet'!$A$113:$I$133,4,0))</f>
        <v>48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1.7037726106003068</v>
      </c>
      <c r="CM55" s="21">
        <f>EXP(-LN(2)/2)*CM54+(1-EXP(-LN(2)/2))/(LN(2)/2)*CG55*CJ55*VLOOKUP('Données projet'!$B$12,Paramètres!$A$1:$I$89,3,0)*0.475*44/12</f>
        <v>1.5967321466467687E-3</v>
      </c>
      <c r="CN55" s="22">
        <f t="shared" si="12"/>
        <v>1.7053693427469536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11</v>
      </c>
      <c r="CT55" s="12">
        <f>IF('Données projet'!$A$140&gt;35,CT54+CS55-DB54,IF(A55&lt;'Données projet'!$A$140,$CQ$205^A55,IF(A55='Données projet'!$A$140,'Données projet'!$B$140,CT54+CS55-DB54)))</f>
        <v>211.00000000000003</v>
      </c>
      <c r="CU55" s="17">
        <f>CT55*VLOOKUP('Données projet'!$B$13,Paramètres!$A$1:$I$89,3,0)*VLOOKUP('Données projet'!$B$13,Paramètres!$A$1:$I$89,5,0)</f>
        <v>181.03800000000004</v>
      </c>
      <c r="CV55" s="13">
        <f t="shared" si="41"/>
        <v>45.553044701671382</v>
      </c>
      <c r="CW55" s="20">
        <f t="shared" si="13"/>
        <v>394.64606952207765</v>
      </c>
      <c r="CX55" s="59">
        <f t="shared" si="14"/>
        <v>687.97940285541097</v>
      </c>
      <c r="CY55" s="59">
        <f ca="1">AVERAGE(OFFSET($CX$3,0,0,'Données projet'!$E$13+1,1))-AVERAGE(OFFSET($H$3,0,0,'Données projet'!$E$13+1,1))</f>
        <v>273.73158910361786</v>
      </c>
      <c r="CZ55" s="59">
        <f t="shared" si="42"/>
        <v>256.77417912163997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17.8</v>
      </c>
      <c r="DO55" s="12">
        <f>IF('Données projet'!$A$166&gt;35,DO54+DN55-DW54,IF(A55&lt;'Données projet'!$A$166,$DL$205^A55,IF(A55='Données projet'!$A$166,'Données projet'!$B$166,DO54+DN55-DW54)))</f>
        <v>651.6</v>
      </c>
      <c r="DP55" s="17">
        <f>DO55*VLOOKUP('Données projet'!$B$14,Paramètres!$A$1:$I$89,3,0)*VLOOKUP('Données projet'!$B$14,Paramètres!$A$1:$I$89,5,0)</f>
        <v>364.24439999999998</v>
      </c>
      <c r="DQ55" s="13">
        <f t="shared" si="43"/>
        <v>84.488736755792686</v>
      </c>
      <c r="DR55" s="20">
        <f t="shared" si="16"/>
        <v>781.54354651633878</v>
      </c>
      <c r="DS55" s="59">
        <f t="shared" si="17"/>
        <v>1074.8768798496722</v>
      </c>
      <c r="DT55" s="59">
        <f ca="1">AVERAGE(OFFSET($DS$3,0,0,'Données projet'!$E$14+1,1))-AVERAGE(OFFSET($H$3,0,0,'Données projet'!$E$14+1,1))</f>
        <v>534.78683721545372</v>
      </c>
      <c r="DU55" s="59">
        <f t="shared" si="44"/>
        <v>710.59298755711075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3.5349949504418108</v>
      </c>
      <c r="EB55" s="21">
        <f>EXP(-LN(2)/25)*EB54+(1-EXP(-LN(2)/25))/(LN(2)/25)*Calculateur!DW55*Calculateur!DY55*VLOOKUP('Données projet'!$B$14,Paramètres!$A$1:$I$89,3,0)*0.475*44/12</f>
        <v>13.145726894367282</v>
      </c>
      <c r="EC55" s="21">
        <f>EXP(-LN(2)/2)*EC54+(1-EXP(-LN(2)/2))/(LN(2)/2)*DW55*DZ55*VLOOKUP('Données projet'!$B$14,Paramètres!$A$1:$I$89,3,0)*0.475*44/12</f>
        <v>5.7127285408618686E-3</v>
      </c>
      <c r="ED55" s="22">
        <f t="shared" si="18"/>
        <v>16.686434573349953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13.4</v>
      </c>
      <c r="EJ55" s="12">
        <f>IF('Données projet'!$A$192&gt;35,EJ54+EI55-ER54,IF(A55&lt;'Données projet'!$A$192,$EG$205^A55,IF(A55='Données projet'!$A$192,'Données projet'!$B$192,EJ54+EI55-ER54)))</f>
        <v>265.80000000000013</v>
      </c>
      <c r="EK55" s="17">
        <f>EJ55*VLOOKUP('Données projet'!$B$15,Paramètres!$A$1:$I$89,3,0)*VLOOKUP('Données projet'!$B$15,Paramètres!$A$1:$I$89,5,0)</f>
        <v>232.20288000000011</v>
      </c>
      <c r="EL55" s="13">
        <f t="shared" si="45"/>
        <v>56.758731122900933</v>
      </c>
      <c r="EM55" s="20">
        <f t="shared" si="19"/>
        <v>503.27480603905269</v>
      </c>
      <c r="EN55" s="59">
        <f t="shared" si="20"/>
        <v>796.60813937238595</v>
      </c>
      <c r="EO55" s="59">
        <f ca="1">AVERAGE(OFFSET($EN$3,0,0,'Données projet'!$E$15+1,1))-AVERAGE(OFFSET($H$3,0,0,'Données projet'!$E$15+1,1))</f>
        <v>255.2813753128475</v>
      </c>
      <c r="EP55" s="59">
        <f t="shared" si="46"/>
        <v>317.03005098025352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3.6485582454681547</v>
      </c>
      <c r="EW55" s="21">
        <f>EXP(-LN(2)/25)*EW54+(1-EXP(-LN(2)/25))/(LN(2)/25)*Calculateur!ER55*Calculateur!ET55*VLOOKUP('Données projet'!$B$15,Paramètres!$A$1:$I$89,3,0)*0.475*44/12</f>
        <v>9.5825220279794152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13.231080273447571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1.7053025658242404E-13</v>
      </c>
      <c r="O56" s="13">
        <f>N56*VLOOKUP('Données projet'!$B$9,Paramètres!$A$1:$I$89,3,0)*VLOOKUP('Données projet'!$B$9,Paramètres!$A$1:$I$89,5,0)</f>
        <v>1.250327841262333E-13</v>
      </c>
      <c r="P56" s="13">
        <f t="shared" si="33"/>
        <v>1.8301318724634299E-12</v>
      </c>
      <c r="Q56" s="20">
        <f t="shared" si="53"/>
        <v>3.405245110226996E-12</v>
      </c>
      <c r="R56" s="59">
        <f t="shared" si="0"/>
        <v>293.33333333333672</v>
      </c>
      <c r="S56" s="59">
        <f ca="1">AVERAGE(OFFSET($R$3,0,0,'Données projet'!$E$9+1,1))-AVERAGE(OFFSET($H$3,0,0,'Données projet'!$E$9+1,1))</f>
        <v>193.60868637458515</v>
      </c>
      <c r="T56" s="59">
        <f t="shared" si="34"/>
        <v>272.97841038165217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264.19999999999993</v>
      </c>
      <c r="AJ56" s="13">
        <f>AI56*VLOOKUP('Données projet'!$B$10,Paramètres!$A$1:$I$89,3,0)*VLOOKUP('Données projet'!$B$10,Paramètres!$A$1:$I$89,5,0)</f>
        <v>210.19751999999994</v>
      </c>
      <c r="AK56" s="13">
        <f t="shared" si="35"/>
        <v>51.978746425856556</v>
      </c>
      <c r="AL56" s="20">
        <f t="shared" si="4"/>
        <v>456.62366402503341</v>
      </c>
      <c r="AM56" s="59">
        <f t="shared" si="5"/>
        <v>749.95699735836672</v>
      </c>
      <c r="AN56" s="59">
        <f ca="1">AVERAGE(OFFSET($AM$3,0,0,'Données projet'!$E$10+1,1))-AVERAGE(OFFSET($H$3,0,0,'Données projet'!$E$10+1,1))</f>
        <v>281.79835088425858</v>
      </c>
      <c r="AO56" s="59">
        <f t="shared" si="36"/>
        <v>345.4750813433123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233.6</v>
      </c>
      <c r="BE56" s="13">
        <f>BD56*VLOOKUP('Données projet'!$B$11,Paramètres!$A$1:$I$89,3,0)*VLOOKUP('Données projet'!$B$11,Paramètres!$A$1:$I$89,5,0)</f>
        <v>211.36127999999999</v>
      </c>
      <c r="BF56" s="13">
        <f t="shared" si="37"/>
        <v>52.232947669705631</v>
      </c>
      <c r="BG56" s="20">
        <f t="shared" si="7"/>
        <v>459.09327985807062</v>
      </c>
      <c r="BH56" s="59">
        <f t="shared" si="8"/>
        <v>752.42661319140393</v>
      </c>
      <c r="BI56" s="59">
        <f ca="1">AVERAGE(OFFSET($BH$3,0,0,'Données projet'!$E$11+1,1))-AVERAGE(OFFSET($H$3,0,0,'Données projet'!$E$11+1,1))</f>
        <v>343.6089004382095</v>
      </c>
      <c r="BJ56" s="59">
        <f t="shared" si="38"/>
        <v>278.21741231699929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231.37499999999989</v>
      </c>
      <c r="BZ56" s="13">
        <f>BY56*VLOOKUP('Données projet'!$B$12,Paramètres!$A$1:$I$89,3,0)*VLOOKUP('Données projet'!$B$12,Paramètres!$A$1:$I$89,5,0)</f>
        <v>180.47249999999991</v>
      </c>
      <c r="CA56" s="13">
        <f t="shared" si="39"/>
        <v>45.427292666837829</v>
      </c>
      <c r="CB56" s="20">
        <f t="shared" si="10"/>
        <v>393.44213889474241</v>
      </c>
      <c r="CC56" s="59">
        <f t="shared" si="11"/>
        <v>686.77547222807573</v>
      </c>
      <c r="CD56" s="59">
        <f ca="1">AVERAGE(OFFSET($CC$3,0,0,'Données projet'!$E$12+1,1))-AVERAGE(OFFSET($H$3,0,0,'Données projet'!$E$12+1,1))</f>
        <v>288.82868507674738</v>
      </c>
      <c r="CE56" s="59">
        <f t="shared" si="40"/>
        <v>283.48738729114024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1.6571828589659339</v>
      </c>
      <c r="CM56" s="21">
        <f>EXP(-LN(2)/2)*CM55+(1-EXP(-LN(2)/2))/(LN(2)/2)*CG56*CJ56*VLOOKUP('Données projet'!$B$12,Paramètres!$A$1:$I$89,3,0)*0.475*44/12</f>
        <v>1.129060128632483E-3</v>
      </c>
      <c r="CN56" s="22">
        <f t="shared" si="12"/>
        <v>1.6583119190945663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11</v>
      </c>
      <c r="CT56" s="12">
        <f>IF('Données projet'!$A$140&gt;35,CT55+CS56-DB55,IF(A56&lt;'Données projet'!$A$140,$CQ$205^A56,IF(A56='Données projet'!$A$140,'Données projet'!$B$140,CT55+CS56-DB55)))</f>
        <v>222.00000000000003</v>
      </c>
      <c r="CU56" s="17">
        <f>CT56*VLOOKUP('Données projet'!$B$13,Paramètres!$A$1:$I$89,3,0)*VLOOKUP('Données projet'!$B$13,Paramètres!$A$1:$I$89,5,0)</f>
        <v>190.47600000000006</v>
      </c>
      <c r="CV56" s="13">
        <f t="shared" si="41"/>
        <v>47.645174362968355</v>
      </c>
      <c r="CW56" s="20">
        <f t="shared" si="13"/>
        <v>414.7277120155033</v>
      </c>
      <c r="CX56" s="59">
        <f t="shared" si="14"/>
        <v>708.06104534883661</v>
      </c>
      <c r="CY56" s="59">
        <f ca="1">AVERAGE(OFFSET($CX$3,0,0,'Données projet'!$E$13+1,1))-AVERAGE(OFFSET($H$3,0,0,'Données projet'!$E$13+1,1))</f>
        <v>273.73158910361786</v>
      </c>
      <c r="CZ56" s="59">
        <f t="shared" si="42"/>
        <v>256.77417912163997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17.8</v>
      </c>
      <c r="DO56" s="12">
        <f>IF('Données projet'!$A$166&gt;35,DO55+DN56-DW55,IF(A56&lt;'Données projet'!$A$166,$DL$205^A56,IF(A56='Données projet'!$A$166,'Données projet'!$B$166,DO55+DN56-DW55)))</f>
        <v>669.4</v>
      </c>
      <c r="DP56" s="17">
        <f>DO56*VLOOKUP('Données projet'!$B$14,Paramètres!$A$1:$I$89,3,0)*VLOOKUP('Données projet'!$B$14,Paramètres!$A$1:$I$89,5,0)</f>
        <v>374.19459999999998</v>
      </c>
      <c r="DQ56" s="13">
        <f t="shared" si="43"/>
        <v>86.524884836459236</v>
      </c>
      <c r="DR56" s="20">
        <f t="shared" si="16"/>
        <v>802.41976942349982</v>
      </c>
      <c r="DS56" s="59">
        <f t="shared" si="17"/>
        <v>1095.7531027568332</v>
      </c>
      <c r="DT56" s="59">
        <f ca="1">AVERAGE(OFFSET($DS$3,0,0,'Données projet'!$E$14+1,1))-AVERAGE(OFFSET($H$3,0,0,'Données projet'!$E$14+1,1))</f>
        <v>534.78683721545372</v>
      </c>
      <c r="DU56" s="59">
        <f t="shared" si="44"/>
        <v>710.59298755711075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3.4656758555976661</v>
      </c>
      <c r="EB56" s="21">
        <f>EXP(-LN(2)/25)*EB55+(1-EXP(-LN(2)/25))/(LN(2)/25)*Calculateur!DW56*Calculateur!DY56*VLOOKUP('Données projet'!$B$14,Paramètres!$A$1:$I$89,3,0)*0.475*44/12</f>
        <v>12.786256301137076</v>
      </c>
      <c r="EC56" s="21">
        <f>EXP(-LN(2)/2)*EC55+(1-EXP(-LN(2)/2))/(LN(2)/2)*DW56*DZ56*VLOOKUP('Données projet'!$B$14,Paramètres!$A$1:$I$89,3,0)*0.475*44/12</f>
        <v>4.0395090903213582E-3</v>
      </c>
      <c r="ED56" s="22">
        <f t="shared" si="18"/>
        <v>16.255971665825065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13.4</v>
      </c>
      <c r="EJ56" s="12">
        <f>IF('Données projet'!$A$192&gt;35,EJ55+EI56-ER55,IF(A56&lt;'Données projet'!$A$192,$EG$205^A56,IF(A56='Données projet'!$A$192,'Données projet'!$B$192,EJ55+EI56-ER55)))</f>
        <v>279.2000000000001</v>
      </c>
      <c r="EK56" s="17">
        <f>EJ56*VLOOKUP('Données projet'!$B$15,Paramètres!$A$1:$I$89,3,0)*VLOOKUP('Données projet'!$B$15,Paramètres!$A$1:$I$89,5,0)</f>
        <v>243.90912000000012</v>
      </c>
      <c r="EL56" s="13">
        <f t="shared" si="45"/>
        <v>59.279804186041225</v>
      </c>
      <c r="EM56" s="20">
        <f t="shared" si="19"/>
        <v>528.05404295735536</v>
      </c>
      <c r="EN56" s="59">
        <f t="shared" si="20"/>
        <v>821.38737629068874</v>
      </c>
      <c r="EO56" s="59">
        <f ca="1">AVERAGE(OFFSET($EN$3,0,0,'Données projet'!$E$15+1,1))-AVERAGE(OFFSET($H$3,0,0,'Données projet'!$E$15+1,1))</f>
        <v>255.2813753128475</v>
      </c>
      <c r="EP56" s="59">
        <f t="shared" si="46"/>
        <v>317.03005098025352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3.577012243675314</v>
      </c>
      <c r="EW56" s="21">
        <f>EXP(-LN(2)/25)*EW55+(1-EXP(-LN(2)/25))/(LN(2)/25)*Calculateur!ER56*Calculateur!ET56*VLOOKUP('Données projet'!$B$15,Paramètres!$A$1:$I$89,3,0)*0.475*44/12</f>
        <v>9.3204874592013862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12.897499702876701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1.7053025658242404E-13</v>
      </c>
      <c r="O57" s="13">
        <f>N57*VLOOKUP('Données projet'!$B$9,Paramètres!$A$1:$I$89,3,0)*VLOOKUP('Données projet'!$B$9,Paramètres!$A$1:$I$89,5,0)</f>
        <v>1.250327841262333E-13</v>
      </c>
      <c r="P57" s="13">
        <f t="shared" si="33"/>
        <v>1.8301318724634299E-12</v>
      </c>
      <c r="Q57" s="20">
        <f t="shared" si="53"/>
        <v>3.405245110226996E-12</v>
      </c>
      <c r="R57" s="59">
        <f t="shared" si="0"/>
        <v>293.33333333333672</v>
      </c>
      <c r="S57" s="59">
        <f ca="1">AVERAGE(OFFSET($R$3,0,0,'Données projet'!$E$9+1,1))-AVERAGE(OFFSET($H$3,0,0,'Données projet'!$E$9+1,1))</f>
        <v>193.60868637458515</v>
      </c>
      <c r="T57" s="59">
        <f t="shared" si="34"/>
        <v>272.97841038165217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271.59999999999991</v>
      </c>
      <c r="AJ57" s="13">
        <f>AI57*VLOOKUP('Données projet'!$B$10,Paramètres!$A$1:$I$89,3,0)*VLOOKUP('Données projet'!$B$10,Paramètres!$A$1:$I$89,5,0)</f>
        <v>216.08495999999994</v>
      </c>
      <c r="AK57" s="13">
        <f t="shared" si="35"/>
        <v>53.26308393083157</v>
      </c>
      <c r="AL57" s="20">
        <f t="shared" si="4"/>
        <v>469.11450984619819</v>
      </c>
      <c r="AM57" s="59">
        <f t="shared" si="5"/>
        <v>762.44784317953145</v>
      </c>
      <c r="AN57" s="59">
        <f ca="1">AVERAGE(OFFSET($AM$3,0,0,'Données projet'!$E$10+1,1))-AVERAGE(OFFSET($H$3,0,0,'Données projet'!$E$10+1,1))</f>
        <v>281.79835088425858</v>
      </c>
      <c r="AO57" s="59">
        <f t="shared" si="36"/>
        <v>345.4750813433123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243.79999999999998</v>
      </c>
      <c r="BE57" s="13">
        <f>BD57*VLOOKUP('Données projet'!$B$11,Paramètres!$A$1:$I$89,3,0)*VLOOKUP('Données projet'!$B$11,Paramètres!$A$1:$I$89,5,0)</f>
        <v>220.59023999999997</v>
      </c>
      <c r="BF57" s="13">
        <f t="shared" si="37"/>
        <v>54.24315145708789</v>
      </c>
      <c r="BG57" s="20">
        <f t="shared" si="7"/>
        <v>478.66815678776129</v>
      </c>
      <c r="BH57" s="59">
        <f t="shared" si="8"/>
        <v>772.00149012109455</v>
      </c>
      <c r="BI57" s="59">
        <f ca="1">AVERAGE(OFFSET($BH$3,0,0,'Données projet'!$E$11+1,1))-AVERAGE(OFFSET($H$3,0,0,'Données projet'!$E$11+1,1))</f>
        <v>343.6089004382095</v>
      </c>
      <c r="BJ57" s="59">
        <f t="shared" si="38"/>
        <v>278.21741231699929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9.375</v>
      </c>
      <c r="BY57" s="12">
        <f>IF('Données projet'!$A$114&gt;35,BY56+BX57-CG56,IF(A57&lt;'Données projet'!$A$114,$BV$205^A57,IF(A57='Données projet'!$A$114,'Données projet'!$B$114,BY56+BX57-CG56)))</f>
        <v>240.74999999999989</v>
      </c>
      <c r="BZ57" s="13">
        <f>BY57*VLOOKUP('Données projet'!$B$12,Paramètres!$A$1:$I$89,3,0)*VLOOKUP('Données projet'!$B$12,Paramètres!$A$1:$I$89,5,0)</f>
        <v>187.78499999999991</v>
      </c>
      <c r="CA57" s="13">
        <f t="shared" si="39"/>
        <v>47.049914090154054</v>
      </c>
      <c r="CB57" s="20">
        <f t="shared" si="10"/>
        <v>409.0041420403515</v>
      </c>
      <c r="CC57" s="59">
        <f t="shared" si="11"/>
        <v>702.33747537368481</v>
      </c>
      <c r="CD57" s="59">
        <f ca="1">AVERAGE(OFFSET($CC$3,0,0,'Données projet'!$E$12+1,1))-AVERAGE(OFFSET($H$3,0,0,'Données projet'!$E$12+1,1))</f>
        <v>288.82868507674738</v>
      </c>
      <c r="CE57" s="59">
        <f t="shared" si="40"/>
        <v>283.48738729114024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1.6118671065400514</v>
      </c>
      <c r="CM57" s="21">
        <f>EXP(-LN(2)/2)*CM56+(1-EXP(-LN(2)/2))/(LN(2)/2)*CG57*CJ57*VLOOKUP('Données projet'!$B$12,Paramètres!$A$1:$I$89,3,0)*0.475*44/12</f>
        <v>7.9836607332338437E-4</v>
      </c>
      <c r="CN57" s="22">
        <f t="shared" si="12"/>
        <v>1.6126654726133747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11</v>
      </c>
      <c r="CT57" s="12">
        <f>IF('Données projet'!$A$140&gt;35,CT56+CS57-DB56,IF(A57&lt;'Données projet'!$A$140,$CQ$205^A57,IF(A57='Données projet'!$A$140,'Données projet'!$B$140,CT56+CS57-DB56)))</f>
        <v>233.00000000000003</v>
      </c>
      <c r="CU57" s="17">
        <f>CT57*VLOOKUP('Données projet'!$B$13,Paramètres!$A$1:$I$89,3,0)*VLOOKUP('Données projet'!$B$13,Paramètres!$A$1:$I$89,5,0)</f>
        <v>199.91400000000007</v>
      </c>
      <c r="CV57" s="13">
        <f t="shared" si="41"/>
        <v>49.725267055272241</v>
      </c>
      <c r="CW57" s="20">
        <f t="shared" si="13"/>
        <v>434.78839012126599</v>
      </c>
      <c r="CX57" s="59">
        <f t="shared" si="14"/>
        <v>728.12172345459931</v>
      </c>
      <c r="CY57" s="59">
        <f ca="1">AVERAGE(OFFSET($CX$3,0,0,'Données projet'!$E$13+1,1))-AVERAGE(OFFSET($H$3,0,0,'Données projet'!$E$13+1,1))</f>
        <v>273.73158910361786</v>
      </c>
      <c r="CZ57" s="59">
        <f t="shared" si="42"/>
        <v>256.77417912163997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17.8</v>
      </c>
      <c r="DO57" s="12">
        <f>IF('Données projet'!$A$166&gt;35,DO56+DN57-DW56,IF(A57&lt;'Données projet'!$A$166,$DL$205^A57,IF(A57='Données projet'!$A$166,'Données projet'!$B$166,DO56+DN57-DW56)))</f>
        <v>687.19999999999993</v>
      </c>
      <c r="DP57" s="17">
        <f>DO57*VLOOKUP('Données projet'!$B$14,Paramètres!$A$1:$I$89,3,0)*VLOOKUP('Données projet'!$B$14,Paramètres!$A$1:$I$89,5,0)</f>
        <v>384.14479999999998</v>
      </c>
      <c r="DQ57" s="13">
        <f t="shared" si="43"/>
        <v>88.554739612081832</v>
      </c>
      <c r="DR57" s="20">
        <f t="shared" si="16"/>
        <v>823.28503149104245</v>
      </c>
      <c r="DS57" s="59">
        <f t="shared" si="17"/>
        <v>1116.6183648243757</v>
      </c>
      <c r="DT57" s="59">
        <f ca="1">AVERAGE(OFFSET($DS$3,0,0,'Données projet'!$E$14+1,1))-AVERAGE(OFFSET($H$3,0,0,'Données projet'!$E$14+1,1))</f>
        <v>534.78683721545372</v>
      </c>
      <c r="DU57" s="59">
        <f t="shared" si="44"/>
        <v>710.59298755711075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3.3977160659229422</v>
      </c>
      <c r="EB57" s="21">
        <f>EXP(-LN(2)/25)*EB56+(1-EXP(-LN(2)/25))/(LN(2)/25)*Calculateur!DW57*Calculateur!DY57*VLOOKUP('Données projet'!$B$14,Paramètres!$A$1:$I$89,3,0)*0.475*44/12</f>
        <v>12.436615450182487</v>
      </c>
      <c r="EC57" s="21">
        <f>EXP(-LN(2)/2)*EC56+(1-EXP(-LN(2)/2))/(LN(2)/2)*DW57*DZ57*VLOOKUP('Données projet'!$B$14,Paramètres!$A$1:$I$89,3,0)*0.475*44/12</f>
        <v>2.8563642704309343E-3</v>
      </c>
      <c r="ED57" s="22">
        <f t="shared" si="18"/>
        <v>15.837187880375859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13.4</v>
      </c>
      <c r="EJ57" s="12">
        <f>IF('Données projet'!$A$192&gt;35,EJ56+EI57-ER56,IF(A57&lt;'Données projet'!$A$192,$EG$205^A57,IF(A57='Données projet'!$A$192,'Données projet'!$B$192,EJ56+EI57-ER56)))</f>
        <v>292.60000000000008</v>
      </c>
      <c r="EK57" s="17">
        <f>EJ57*VLOOKUP('Données projet'!$B$15,Paramètres!$A$1:$I$89,3,0)*VLOOKUP('Données projet'!$B$15,Paramètres!$A$1:$I$89,5,0)</f>
        <v>255.61536000000009</v>
      </c>
      <c r="EL57" s="13">
        <f t="shared" si="45"/>
        <v>61.786826763524147</v>
      </c>
      <c r="EM57" s="20">
        <f t="shared" si="19"/>
        <v>552.80880861313801</v>
      </c>
      <c r="EN57" s="59">
        <f t="shared" si="20"/>
        <v>846.14214194647138</v>
      </c>
      <c r="EO57" s="59">
        <f ca="1">AVERAGE(OFFSET($EN$3,0,0,'Données projet'!$E$15+1,1))-AVERAGE(OFFSET($H$3,0,0,'Données projet'!$E$15+1,1))</f>
        <v>255.2813753128475</v>
      </c>
      <c r="EP57" s="59">
        <f t="shared" si="46"/>
        <v>317.03005098025352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3.5068692153388787</v>
      </c>
      <c r="EW57" s="21">
        <f>EXP(-LN(2)/25)*EW56+(1-EXP(-LN(2)/25))/(LN(2)/25)*Calculateur!ER57*Calculateur!ET57*VLOOKUP('Données projet'!$B$15,Paramètres!$A$1:$I$89,3,0)*0.475*44/12</f>
        <v>9.0656182394863905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12.57248745482527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1.7053025658242404E-13</v>
      </c>
      <c r="O58" s="13">
        <f>N58*VLOOKUP('Données projet'!$B$9,Paramètres!$A$1:$I$89,3,0)*VLOOKUP('Données projet'!$B$9,Paramètres!$A$1:$I$89,5,0)</f>
        <v>1.250327841262333E-13</v>
      </c>
      <c r="P58" s="13">
        <f t="shared" si="33"/>
        <v>1.8301318724634299E-12</v>
      </c>
      <c r="Q58" s="20">
        <f t="shared" si="53"/>
        <v>3.405245110226996E-12</v>
      </c>
      <c r="R58" s="59">
        <f t="shared" si="0"/>
        <v>293.33333333333672</v>
      </c>
      <c r="S58" s="59">
        <f ca="1">AVERAGE(OFFSET($R$3,0,0,'Données projet'!$E$9+1,1))-AVERAGE(OFFSET($H$3,0,0,'Données projet'!$E$9+1,1))</f>
        <v>193.60868637458515</v>
      </c>
      <c r="T58" s="59">
        <f t="shared" si="34"/>
        <v>272.97841038165217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278.99999999999989</v>
      </c>
      <c r="AJ58" s="13">
        <f>AI58*VLOOKUP('Données projet'!$B$10,Paramètres!$A$1:$I$89,3,0)*VLOOKUP('Données projet'!$B$10,Paramètres!$A$1:$I$89,5,0)</f>
        <v>221.97239999999991</v>
      </c>
      <c r="AK58" s="13">
        <f t="shared" si="35"/>
        <v>54.543354171476771</v>
      </c>
      <c r="AL58" s="20">
        <f t="shared" si="4"/>
        <v>481.5982718486552</v>
      </c>
      <c r="AM58" s="59">
        <f t="shared" si="5"/>
        <v>774.93160518198852</v>
      </c>
      <c r="AN58" s="59">
        <f ca="1">AVERAGE(OFFSET($AM$3,0,0,'Données projet'!$E$10+1,1))-AVERAGE(OFFSET($H$3,0,0,'Données projet'!$E$10+1,1))</f>
        <v>281.79835088425858</v>
      </c>
      <c r="AO58" s="59">
        <f t="shared" si="36"/>
        <v>345.4750813433123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253.99999999999997</v>
      </c>
      <c r="BE58" s="13">
        <f>BD58*VLOOKUP('Données projet'!$B$11,Paramètres!$A$1:$I$89,3,0)*VLOOKUP('Données projet'!$B$11,Paramètres!$A$1:$I$89,5,0)</f>
        <v>229.81919999999997</v>
      </c>
      <c r="BF58" s="13">
        <f t="shared" si="37"/>
        <v>56.243586554989342</v>
      </c>
      <c r="BG58" s="20">
        <f t="shared" si="7"/>
        <v>498.22601991660639</v>
      </c>
      <c r="BH58" s="59">
        <f t="shared" si="8"/>
        <v>791.5593532499397</v>
      </c>
      <c r="BI58" s="59">
        <f ca="1">AVERAGE(OFFSET($BH$3,0,0,'Données projet'!$E$11+1,1))-AVERAGE(OFFSET($H$3,0,0,'Données projet'!$E$11+1,1))</f>
        <v>343.6089004382095</v>
      </c>
      <c r="BJ58" s="59">
        <f t="shared" si="38"/>
        <v>278.21741231699929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9.375</v>
      </c>
      <c r="BY58" s="12">
        <f>IF('Données projet'!$A$114&gt;35,BY57+BX58-CG57,IF(A58&lt;'Données projet'!$A$114,$BV$205^A58,IF(A58='Données projet'!$A$114,'Données projet'!$B$114,BY57+BX58-CG57)))</f>
        <v>250.12499999999989</v>
      </c>
      <c r="BZ58" s="13">
        <f>BY58*VLOOKUP('Données projet'!$B$12,Paramètres!$A$1:$I$89,3,0)*VLOOKUP('Données projet'!$B$12,Paramètres!$A$1:$I$89,5,0)</f>
        <v>195.09749999999991</v>
      </c>
      <c r="CA58" s="13">
        <f t="shared" si="39"/>
        <v>48.66519532492579</v>
      </c>
      <c r="CB58" s="20">
        <f t="shared" si="10"/>
        <v>424.55336102424553</v>
      </c>
      <c r="CC58" s="59">
        <f t="shared" si="11"/>
        <v>717.88669435757879</v>
      </c>
      <c r="CD58" s="59">
        <f ca="1">AVERAGE(OFFSET($CC$3,0,0,'Données projet'!$E$12+1,1))-AVERAGE(OFFSET($H$3,0,0,'Données projet'!$E$12+1,1))</f>
        <v>288.82868507674738</v>
      </c>
      <c r="CE58" s="59">
        <f t="shared" si="40"/>
        <v>283.48738729114024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1.5677905157473064</v>
      </c>
      <c r="CM58" s="21">
        <f>EXP(-LN(2)/2)*CM57+(1-EXP(-LN(2)/2))/(LN(2)/2)*CG58*CJ58*VLOOKUP('Données projet'!$B$12,Paramètres!$A$1:$I$89,3,0)*0.475*44/12</f>
        <v>5.6453006431624151E-4</v>
      </c>
      <c r="CN58" s="22">
        <f t="shared" si="12"/>
        <v>1.5683550458116227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244</v>
      </c>
      <c r="CR58" s="12">
        <f>VLOOKUP(A58,'Données projet'!$A$139:$I$159,9,0)</f>
        <v>11</v>
      </c>
      <c r="CS58" s="12">
        <f t="array" ref="CS58">INDEX(CR:CR,MIN(IF(ISNUMBER(CR58:CR254),ROW(CR58:CR254),"")))</f>
        <v>11</v>
      </c>
      <c r="CT58" s="12">
        <f>IF('Données projet'!$A$140&gt;35,CT57+CS58-DB57,IF(A58&lt;'Données projet'!$A$140,$CQ$205^A58,IF(A58='Données projet'!$A$140,'Données projet'!$B$140,CT57+CS58-DB57)))</f>
        <v>244.00000000000003</v>
      </c>
      <c r="CU58" s="17">
        <f>CT58*VLOOKUP('Données projet'!$B$13,Paramètres!$A$1:$I$89,3,0)*VLOOKUP('Données projet'!$B$13,Paramètres!$A$1:$I$89,5,0)</f>
        <v>209.35200000000003</v>
      </c>
      <c r="CV58" s="13">
        <f t="shared" si="41"/>
        <v>51.79395593509436</v>
      </c>
      <c r="CW58" s="20">
        <f t="shared" si="13"/>
        <v>454.82920658695599</v>
      </c>
      <c r="CX58" s="59">
        <f t="shared" si="14"/>
        <v>748.1625399202893</v>
      </c>
      <c r="CY58" s="59">
        <f ca="1">AVERAGE(OFFSET($CX$3,0,0,'Données projet'!$E$13+1,1))-AVERAGE(OFFSET($H$3,0,0,'Données projet'!$E$13+1,1))</f>
        <v>273.73158910361786</v>
      </c>
      <c r="CZ58" s="59">
        <f t="shared" si="42"/>
        <v>256.77417912163997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28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705</v>
      </c>
      <c r="DM58" s="12">
        <f>VLOOKUP(A58,'Données projet'!$A$165:$I$185,9,0)</f>
        <v>17.8</v>
      </c>
      <c r="DN58" s="12">
        <f t="array" ref="DN58">INDEX(DM:DM,MIN(IF(ISNUMBER(DM58:DM254),ROW(DM58:DM254),"")))</f>
        <v>17.8</v>
      </c>
      <c r="DO58" s="12">
        <f>IF('Données projet'!$A$166&gt;35,DO57+DN58-DW57,IF(A58&lt;'Données projet'!$A$166,$DL$205^A58,IF(A58='Données projet'!$A$166,'Données projet'!$B$166,DO57+DN58-DW57)))</f>
        <v>704.99999999999989</v>
      </c>
      <c r="DP58" s="17">
        <f>DO58*VLOOKUP('Données projet'!$B$14,Paramètres!$A$1:$I$89,3,0)*VLOOKUP('Données projet'!$B$14,Paramètres!$A$1:$I$89,5,0)</f>
        <v>394.09499999999991</v>
      </c>
      <c r="DQ58" s="13">
        <f t="shared" si="43"/>
        <v>90.578482834670083</v>
      </c>
      <c r="DR58" s="20">
        <f t="shared" si="16"/>
        <v>844.13964927038353</v>
      </c>
      <c r="DS58" s="59">
        <f t="shared" si="17"/>
        <v>1137.4729826037169</v>
      </c>
      <c r="DT58" s="59">
        <f ca="1">AVERAGE(OFFSET($DS$3,0,0,'Données projet'!$E$14+1,1))-AVERAGE(OFFSET($H$3,0,0,'Données projet'!$E$14+1,1))</f>
        <v>534.78683721545372</v>
      </c>
      <c r="DU58" s="59">
        <f t="shared" si="44"/>
        <v>710.59298755711075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66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3.3310889262723609</v>
      </c>
      <c r="EB58" s="21">
        <f>EXP(-LN(2)/25)*EB57+(1-EXP(-LN(2)/25))/(LN(2)/25)*Calculateur!DW58*Calculateur!DY58*VLOOKUP('Données projet'!$B$14,Paramètres!$A$1:$I$89,3,0)*0.475*44/12</f>
        <v>12.096535546684064</v>
      </c>
      <c r="EC58" s="21">
        <f>EXP(-LN(2)/2)*EC57+(1-EXP(-LN(2)/2))/(LN(2)/2)*DW58*DZ58*VLOOKUP('Données projet'!$B$14,Paramètres!$A$1:$I$89,3,0)*0.475*44/12</f>
        <v>2.0197545451606791E-3</v>
      </c>
      <c r="ED58" s="22">
        <f t="shared" si="18"/>
        <v>15.429644227501587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306</v>
      </c>
      <c r="EH58" s="12">
        <f>VLOOKUP(A58,'Données projet'!$A$191:$I$211,9,0)</f>
        <v>13.4</v>
      </c>
      <c r="EI58" s="12">
        <f t="array" ref="EI58">INDEX(EH:EH,MIN(IF(ISNUMBER(EH58:EH254),ROW(EH58:EH254),"")))</f>
        <v>13.4</v>
      </c>
      <c r="EJ58" s="12">
        <f>IF('Données projet'!$A$192&gt;35,EJ57+EI58-ER57,IF(A58&lt;'Données projet'!$A$192,$EG$205^A58,IF(A58='Données projet'!$A$192,'Données projet'!$B$192,EJ57+EI58-ER57)))</f>
        <v>306.00000000000006</v>
      </c>
      <c r="EK58" s="17">
        <f>EJ58*VLOOKUP('Données projet'!$B$15,Paramètres!$A$1:$I$89,3,0)*VLOOKUP('Données projet'!$B$15,Paramètres!$A$1:$I$89,5,0)</f>
        <v>267.3216000000001</v>
      </c>
      <c r="EL58" s="13">
        <f t="shared" si="45"/>
        <v>64.280515815446378</v>
      </c>
      <c r="EM58" s="20">
        <f t="shared" si="19"/>
        <v>577.54035171190264</v>
      </c>
      <c r="EN58" s="59">
        <f t="shared" si="20"/>
        <v>870.87368504523602</v>
      </c>
      <c r="EO58" s="59">
        <f ca="1">AVERAGE(OFFSET($EN$3,0,0,'Données projet'!$E$15+1,1))-AVERAGE(OFFSET($H$3,0,0,'Données projet'!$E$15+1,1))</f>
        <v>255.2813753128475</v>
      </c>
      <c r="EP58" s="59">
        <f t="shared" si="46"/>
        <v>317.03005098025352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306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3.4381016490050982</v>
      </c>
      <c r="EW58" s="21">
        <f>EXP(-LN(2)/25)*EW57+(1-EXP(-LN(2)/25))/(LN(2)/25)*Calculateur!ER58*Calculateur!ET58*VLOOKUP('Données projet'!$B$15,Paramètres!$A$1:$I$89,3,0)*0.475*44/12</f>
        <v>8.8177184319874922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12.25582008099259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1.7053025658242404E-13</v>
      </c>
      <c r="O59" s="13">
        <f>N59*VLOOKUP('Données projet'!$B$9,Paramètres!$A$1:$I$89,3,0)*VLOOKUP('Données projet'!$B$9,Paramètres!$A$1:$I$89,5,0)</f>
        <v>1.250327841262333E-13</v>
      </c>
      <c r="P59" s="13">
        <f t="shared" si="33"/>
        <v>1.8301318724634299E-12</v>
      </c>
      <c r="Q59" s="20">
        <f t="shared" si="53"/>
        <v>3.405245110226996E-12</v>
      </c>
      <c r="R59" s="59">
        <f t="shared" si="0"/>
        <v>293.33333333333672</v>
      </c>
      <c r="S59" s="59">
        <f ca="1">AVERAGE(OFFSET($R$3,0,0,'Données projet'!$E$9+1,1))-AVERAGE(OFFSET($H$3,0,0,'Données projet'!$E$9+1,1))</f>
        <v>193.60868637458515</v>
      </c>
      <c r="T59" s="59">
        <f t="shared" si="34"/>
        <v>272.97841038165217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6.2</v>
      </c>
      <c r="AI59" s="13">
        <f>IF('Données projet'!$A$62&gt;35,AI58+AH59-AQ58,IF(A59&lt;'Données projet'!$A$62,$AF$205^A59,IF(A59='Données projet'!$A$62,'Données projet'!$B$62,AI58+AH59-AQ58)))</f>
        <v>269.19999999999987</v>
      </c>
      <c r="AJ59" s="13">
        <f>AI59*VLOOKUP('Données projet'!$B$10,Paramètres!$A$1:$I$89,3,0)*VLOOKUP('Données projet'!$B$10,Paramètres!$A$1:$I$89,5,0)</f>
        <v>214.17551999999992</v>
      </c>
      <c r="AK59" s="13">
        <f t="shared" si="35"/>
        <v>52.846993696165399</v>
      </c>
      <c r="AL59" s="20">
        <f t="shared" si="4"/>
        <v>465.06421135415462</v>
      </c>
      <c r="AM59" s="59">
        <f t="shared" si="5"/>
        <v>758.39754468748788</v>
      </c>
      <c r="AN59" s="59">
        <f ca="1">AVERAGE(OFFSET($AM$3,0,0,'Données projet'!$E$10+1,1))-AVERAGE(OFFSET($H$3,0,0,'Données projet'!$E$10+1,1))</f>
        <v>281.79835088425858</v>
      </c>
      <c r="AO59" s="59">
        <f t="shared" si="36"/>
        <v>345.4750813433123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235.39999999999998</v>
      </c>
      <c r="BE59" s="13">
        <f>BD59*VLOOKUP('Données projet'!$B$11,Paramètres!$A$1:$I$89,3,0)*VLOOKUP('Données projet'!$B$11,Paramètres!$A$1:$I$89,5,0)</f>
        <v>212.98991999999998</v>
      </c>
      <c r="BF59" s="13">
        <f t="shared" si="37"/>
        <v>52.588419883221171</v>
      </c>
      <c r="BG59" s="20">
        <f t="shared" si="7"/>
        <v>462.54894196327677</v>
      </c>
      <c r="BH59" s="59">
        <f t="shared" si="8"/>
        <v>755.88227529661003</v>
      </c>
      <c r="BI59" s="59">
        <f ca="1">AVERAGE(OFFSET($BH$3,0,0,'Données projet'!$E$11+1,1))-AVERAGE(OFFSET($H$3,0,0,'Données projet'!$E$11+1,1))</f>
        <v>343.6089004382095</v>
      </c>
      <c r="BJ59" s="59">
        <f t="shared" si="38"/>
        <v>278.21741231699929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9.375</v>
      </c>
      <c r="BY59" s="12">
        <f>IF('Données projet'!$A$114&gt;35,BY58+BX59-CG58,IF(A59&lt;'Données projet'!$A$114,$BV$205^A59,IF(A59='Données projet'!$A$114,'Données projet'!$B$114,BY58+BX59-CG58)))</f>
        <v>259.49999999999989</v>
      </c>
      <c r="BZ59" s="13">
        <f>BY59*VLOOKUP('Données projet'!$B$12,Paramètres!$A$1:$I$89,3,0)*VLOOKUP('Données projet'!$B$12,Paramètres!$A$1:$I$89,5,0)</f>
        <v>202.40999999999991</v>
      </c>
      <c r="CA59" s="13">
        <f t="shared" si="39"/>
        <v>50.273442991661817</v>
      </c>
      <c r="CB59" s="20">
        <f t="shared" si="10"/>
        <v>440.09032987714414</v>
      </c>
      <c r="CC59" s="59">
        <f t="shared" si="11"/>
        <v>733.42366321047746</v>
      </c>
      <c r="CD59" s="59">
        <f ca="1">AVERAGE(OFFSET($CC$3,0,0,'Données projet'!$E$12+1,1))-AVERAGE(OFFSET($H$3,0,0,'Données projet'!$E$12+1,1))</f>
        <v>288.82868507674738</v>
      </c>
      <c r="CE59" s="59">
        <f t="shared" si="40"/>
        <v>283.48738729114024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1.5249192016476762</v>
      </c>
      <c r="CM59" s="21">
        <f>EXP(-LN(2)/2)*CM58+(1-EXP(-LN(2)/2))/(LN(2)/2)*CG59*CJ59*VLOOKUP('Données projet'!$B$12,Paramètres!$A$1:$I$89,3,0)*0.475*44/12</f>
        <v>3.9918303666169219E-4</v>
      </c>
      <c r="CN59" s="22">
        <f t="shared" si="12"/>
        <v>1.5253183846843379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10.8</v>
      </c>
      <c r="CT59" s="12">
        <f>IF('Données projet'!$A$140&gt;35,CT58+CS59-DB58,IF(A59&lt;'Données projet'!$A$140,$CQ$205^A59,IF(A59='Données projet'!$A$140,'Données projet'!$B$140,CT58+CS59-DB58)))</f>
        <v>226.80000000000004</v>
      </c>
      <c r="CU59" s="17">
        <f>CT59*VLOOKUP('Données projet'!$B$13,Paramètres!$A$1:$I$89,3,0)*VLOOKUP('Données projet'!$B$13,Paramètres!$A$1:$I$89,5,0)</f>
        <v>194.59440000000006</v>
      </c>
      <c r="CV59" s="13">
        <f t="shared" si="41"/>
        <v>48.554292648263456</v>
      </c>
      <c r="CW59" s="20">
        <f t="shared" si="13"/>
        <v>423.48397302905897</v>
      </c>
      <c r="CX59" s="59">
        <f t="shared" si="14"/>
        <v>716.81730636239229</v>
      </c>
      <c r="CY59" s="59">
        <f ca="1">AVERAGE(OFFSET($CX$3,0,0,'Données projet'!$E$13+1,1))-AVERAGE(OFFSET($H$3,0,0,'Données projet'!$E$13+1,1))</f>
        <v>273.73158910361786</v>
      </c>
      <c r="CZ59" s="59">
        <f t="shared" si="42"/>
        <v>256.77417912163997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16.8</v>
      </c>
      <c r="DO59" s="12">
        <f>IF('Données projet'!$A$166&gt;35,DO58+DN59-DW58,IF(A59&lt;'Données projet'!$A$166,$DL$205^A59,IF(A59='Données projet'!$A$166,'Données projet'!$B$166,DO58+DN59-DW58)))</f>
        <v>655.79999999999984</v>
      </c>
      <c r="DP59" s="17">
        <f>DO59*VLOOKUP('Données projet'!$B$14,Paramètres!$A$1:$I$89,3,0)*VLOOKUP('Données projet'!$B$14,Paramètres!$A$1:$I$89,5,0)</f>
        <v>366.59219999999988</v>
      </c>
      <c r="DQ59" s="13">
        <f t="shared" si="43"/>
        <v>84.969753481055022</v>
      </c>
      <c r="DR59" s="20">
        <f t="shared" si="16"/>
        <v>786.47040231283734</v>
      </c>
      <c r="DS59" s="59">
        <f t="shared" si="17"/>
        <v>1079.8037356461707</v>
      </c>
      <c r="DT59" s="59">
        <f ca="1">AVERAGE(OFFSET($DS$3,0,0,'Données projet'!$E$14+1,1))-AVERAGE(OFFSET($H$3,0,0,'Données projet'!$E$14+1,1))</f>
        <v>534.78683721545372</v>
      </c>
      <c r="DU59" s="59">
        <f t="shared" si="44"/>
        <v>710.59298755711075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3.2657683041917851</v>
      </c>
      <c r="EB59" s="21">
        <f>EXP(-LN(2)/25)*EB58+(1-EXP(-LN(2)/25))/(LN(2)/25)*Calculateur!DW59*Calculateur!DY59*VLOOKUP('Données projet'!$B$14,Paramètres!$A$1:$I$89,3,0)*0.475*44/12</f>
        <v>11.765755146030831</v>
      </c>
      <c r="EC59" s="21">
        <f>EXP(-LN(2)/2)*EC58+(1-EXP(-LN(2)/2))/(LN(2)/2)*DW59*DZ59*VLOOKUP('Données projet'!$B$14,Paramètres!$A$1:$I$89,3,0)*0.475*44/12</f>
        <v>1.4281821352154671E-3</v>
      </c>
      <c r="ED59" s="22">
        <f t="shared" si="18"/>
        <v>15.032951632357831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5.6843418860808015E-14</v>
      </c>
      <c r="EK59" s="17">
        <f>EJ59*VLOOKUP('Données projet'!$B$15,Paramètres!$A$1:$I$89,3,0)*VLOOKUP('Données projet'!$B$15,Paramètres!$A$1:$I$89,5,0)</f>
        <v>4.9658410716801891E-14</v>
      </c>
      <c r="EL59" s="13">
        <f t="shared" si="45"/>
        <v>8.0934058173791862E-13</v>
      </c>
      <c r="EM59" s="20">
        <f t="shared" si="19"/>
        <v>1.4960899118586383E-12</v>
      </c>
      <c r="EN59" s="59">
        <f t="shared" si="20"/>
        <v>293.33333333333479</v>
      </c>
      <c r="EO59" s="59">
        <f ca="1">AVERAGE(OFFSET($EN$3,0,0,'Données projet'!$E$15+1,1))-AVERAGE(OFFSET($H$3,0,0,'Données projet'!$E$15+1,1))</f>
        <v>255.2813753128475</v>
      </c>
      <c r="EP59" s="59">
        <f t="shared" si="46"/>
        <v>317.03005098025352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3.3706825727030489</v>
      </c>
      <c r="EW59" s="21">
        <f>EXP(-LN(2)/25)*EW58+(1-EXP(-LN(2)/25))/(LN(2)/25)*Calculateur!ER59*Calculateur!ET59*VLOOKUP('Données projet'!$B$15,Paramètres!$A$1:$I$89,3,0)*0.475*44/12</f>
        <v>8.5765974577611352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11.947280030464185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1.7053025658242404E-13</v>
      </c>
      <c r="O60" s="13">
        <f>N60*VLOOKUP('Données projet'!$B$9,Paramètres!$A$1:$I$89,3,0)*VLOOKUP('Données projet'!$B$9,Paramètres!$A$1:$I$89,5,0)</f>
        <v>1.250327841262333E-13</v>
      </c>
      <c r="P60" s="13">
        <f t="shared" si="33"/>
        <v>1.8301318724634299E-12</v>
      </c>
      <c r="Q60" s="20">
        <f t="shared" si="53"/>
        <v>3.405245110226996E-12</v>
      </c>
      <c r="R60" s="59">
        <f t="shared" si="0"/>
        <v>293.33333333333672</v>
      </c>
      <c r="S60" s="59">
        <f ca="1">AVERAGE(OFFSET($R$3,0,0,'Données projet'!$E$9+1,1))-AVERAGE(OFFSET($H$3,0,0,'Données projet'!$E$9+1,1))</f>
        <v>193.60868637458515</v>
      </c>
      <c r="T60" s="59">
        <f t="shared" si="34"/>
        <v>272.97841038165217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6.2</v>
      </c>
      <c r="AI60" s="13">
        <f>IF('Données projet'!$A$62&gt;35,AI59+AH60-AQ59,IF(A60&lt;'Données projet'!$A$62,$AF$205^A60,IF(A60='Données projet'!$A$62,'Données projet'!$B$62,AI59+AH60-AQ59)))</f>
        <v>275.39999999999986</v>
      </c>
      <c r="AJ60" s="13">
        <f>AI60*VLOOKUP('Données projet'!$B$10,Paramètres!$A$1:$I$89,3,0)*VLOOKUP('Données projet'!$B$10,Paramètres!$A$1:$I$89,5,0)</f>
        <v>219.10823999999988</v>
      </c>
      <c r="AK60" s="13">
        <f t="shared" si="35"/>
        <v>53.921020297295854</v>
      </c>
      <c r="AL60" s="20">
        <f t="shared" si="4"/>
        <v>475.52596168445672</v>
      </c>
      <c r="AM60" s="59">
        <f t="shared" si="5"/>
        <v>768.85929501779003</v>
      </c>
      <c r="AN60" s="59">
        <f ca="1">AVERAGE(OFFSET($AM$3,0,0,'Données projet'!$E$10+1,1))-AVERAGE(OFFSET($H$3,0,0,'Données projet'!$E$10+1,1))</f>
        <v>281.79835088425858</v>
      </c>
      <c r="AO60" s="59">
        <f t="shared" si="36"/>
        <v>345.4750813433123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244.79999999999998</v>
      </c>
      <c r="BE60" s="13">
        <f>BD60*VLOOKUP('Données projet'!$B$11,Paramètres!$A$1:$I$89,3,0)*VLOOKUP('Données projet'!$B$11,Paramètres!$A$1:$I$89,5,0)</f>
        <v>221.49503999999999</v>
      </c>
      <c r="BF60" s="13">
        <f t="shared" si="37"/>
        <v>54.439697086174412</v>
      </c>
      <c r="BG60" s="20">
        <f t="shared" si="7"/>
        <v>480.58633375842032</v>
      </c>
      <c r="BH60" s="59">
        <f t="shared" si="8"/>
        <v>773.91966709175358</v>
      </c>
      <c r="BI60" s="59">
        <f ca="1">AVERAGE(OFFSET($BH$3,0,0,'Données projet'!$E$11+1,1))-AVERAGE(OFFSET($H$3,0,0,'Données projet'!$E$11+1,1))</f>
        <v>343.6089004382095</v>
      </c>
      <c r="BJ60" s="59">
        <f t="shared" si="38"/>
        <v>278.21741231699929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9.375</v>
      </c>
      <c r="BY60" s="12">
        <f>IF('Données projet'!$A$114&gt;35,BY59+BX60-CG59,IF(A60&lt;'Données projet'!$A$114,$BV$205^A60,IF(A60='Données projet'!$A$114,'Données projet'!$B$114,BY59+BX60-CG59)))</f>
        <v>268.87499999999989</v>
      </c>
      <c r="BZ60" s="13">
        <f>BY60*VLOOKUP('Données projet'!$B$12,Paramètres!$A$1:$I$89,3,0)*VLOOKUP('Données projet'!$B$12,Paramètres!$A$1:$I$89,5,0)</f>
        <v>209.72249999999991</v>
      </c>
      <c r="CA60" s="13">
        <f t="shared" si="39"/>
        <v>51.874940300502246</v>
      </c>
      <c r="CB60" s="20">
        <f t="shared" si="10"/>
        <v>455.61554185670792</v>
      </c>
      <c r="CC60" s="59">
        <f t="shared" si="11"/>
        <v>748.94887519004124</v>
      </c>
      <c r="CD60" s="59">
        <f ca="1">AVERAGE(OFFSET($CC$3,0,0,'Données projet'!$E$12+1,1))-AVERAGE(OFFSET($H$3,0,0,'Données projet'!$E$12+1,1))</f>
        <v>288.82868507674738</v>
      </c>
      <c r="CE60" s="59">
        <f t="shared" si="40"/>
        <v>283.48738729114024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1.4832202058866051</v>
      </c>
      <c r="CM60" s="21">
        <f>EXP(-LN(2)/2)*CM59+(1-EXP(-LN(2)/2))/(LN(2)/2)*CG60*CJ60*VLOOKUP('Données projet'!$B$12,Paramètres!$A$1:$I$89,3,0)*0.475*44/12</f>
        <v>2.8226503215812075E-4</v>
      </c>
      <c r="CN60" s="22">
        <f t="shared" si="12"/>
        <v>1.4835024709187632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10.8</v>
      </c>
      <c r="CT60" s="12">
        <f>IF('Données projet'!$A$140&gt;35,CT59+CS60-DB59,IF(A60&lt;'Données projet'!$A$140,$CQ$205^A60,IF(A60='Données projet'!$A$140,'Données projet'!$B$140,CT59+CS60-DB59)))</f>
        <v>237.60000000000005</v>
      </c>
      <c r="CU60" s="17">
        <f>CT60*VLOOKUP('Données projet'!$B$13,Paramètres!$A$1:$I$89,3,0)*VLOOKUP('Données projet'!$B$13,Paramètres!$A$1:$I$89,5,0)</f>
        <v>203.86080000000007</v>
      </c>
      <c r="CV60" s="13">
        <f t="shared" si="41"/>
        <v>50.591708220421786</v>
      </c>
      <c r="CW60" s="20">
        <f t="shared" si="13"/>
        <v>443.17145181723475</v>
      </c>
      <c r="CX60" s="59">
        <f t="shared" si="14"/>
        <v>736.50478515056807</v>
      </c>
      <c r="CY60" s="59">
        <f ca="1">AVERAGE(OFFSET($CX$3,0,0,'Données projet'!$E$13+1,1))-AVERAGE(OFFSET($H$3,0,0,'Données projet'!$E$13+1,1))</f>
        <v>273.73158910361786</v>
      </c>
      <c r="CZ60" s="59">
        <f t="shared" si="42"/>
        <v>256.77417912163997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16.8</v>
      </c>
      <c r="DO60" s="12">
        <f>IF('Données projet'!$A$166&gt;35,DO59+DN60-DW59,IF(A60&lt;'Données projet'!$A$166,$DL$205^A60,IF(A60='Données projet'!$A$166,'Données projet'!$B$166,DO59+DN60-DW59)))</f>
        <v>672.5999999999998</v>
      </c>
      <c r="DP60" s="17">
        <f>DO60*VLOOKUP('Données projet'!$B$14,Paramètres!$A$1:$I$89,3,0)*VLOOKUP('Données projet'!$B$14,Paramètres!$A$1:$I$89,5,0)</f>
        <v>375.9833999999999</v>
      </c>
      <c r="DQ60" s="13">
        <f t="shared" si="43"/>
        <v>86.890261138472837</v>
      </c>
      <c r="DR60" s="20">
        <f t="shared" si="16"/>
        <v>806.17162648284011</v>
      </c>
      <c r="DS60" s="59">
        <f t="shared" si="17"/>
        <v>1099.5049598161734</v>
      </c>
      <c r="DT60" s="59">
        <f ca="1">AVERAGE(OFFSET($DS$3,0,0,'Données projet'!$E$14+1,1))-AVERAGE(OFFSET($H$3,0,0,'Données projet'!$E$14+1,1))</f>
        <v>534.78683721545372</v>
      </c>
      <c r="DU60" s="59">
        <f t="shared" si="44"/>
        <v>710.59298755711075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3.2017285796685639</v>
      </c>
      <c r="EB60" s="21">
        <f>EXP(-LN(2)/25)*EB59+(1-EXP(-LN(2)/25))/(LN(2)/25)*Calculateur!DW60*Calculateur!DY60*VLOOKUP('Données projet'!$B$14,Paramètres!$A$1:$I$89,3,0)*0.475*44/12</f>
        <v>11.444019952828445</v>
      </c>
      <c r="EC60" s="21">
        <f>EXP(-LN(2)/2)*EC59+(1-EXP(-LN(2)/2))/(LN(2)/2)*DW60*DZ60*VLOOKUP('Données projet'!$B$14,Paramètres!$A$1:$I$89,3,0)*0.475*44/12</f>
        <v>1.0098772725803395E-3</v>
      </c>
      <c r="ED60" s="22">
        <f t="shared" si="18"/>
        <v>14.646758409769589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5.6843418860808015E-14</v>
      </c>
      <c r="EK60" s="17">
        <f>EJ60*VLOOKUP('Données projet'!$B$15,Paramètres!$A$1:$I$89,3,0)*VLOOKUP('Données projet'!$B$15,Paramètres!$A$1:$I$89,5,0)</f>
        <v>4.9658410716801891E-14</v>
      </c>
      <c r="EL60" s="13">
        <f t="shared" si="45"/>
        <v>8.0934058173791862E-13</v>
      </c>
      <c r="EM60" s="20">
        <f t="shared" si="19"/>
        <v>1.4960899118586383E-12</v>
      </c>
      <c r="EN60" s="59">
        <f t="shared" si="20"/>
        <v>293.33333333333479</v>
      </c>
      <c r="EO60" s="59">
        <f ca="1">AVERAGE(OFFSET($EN$3,0,0,'Données projet'!$E$15+1,1))-AVERAGE(OFFSET($H$3,0,0,'Données projet'!$E$15+1,1))</f>
        <v>255.2813753128475</v>
      </c>
      <c r="EP60" s="59">
        <f t="shared" si="46"/>
        <v>317.03005098025352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3.304585543365707</v>
      </c>
      <c r="EW60" s="21">
        <f>EXP(-LN(2)/25)*EW59+(1-EXP(-LN(2)/25))/(LN(2)/25)*Calculateur!ER60*Calculateur!ET60*VLOOKUP('Données projet'!$B$15,Paramètres!$A$1:$I$89,3,0)*0.475*44/12</f>
        <v>8.3420699492549986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11.646655492620706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1.7053025658242404E-13</v>
      </c>
      <c r="O61" s="13">
        <f>N61*VLOOKUP('Données projet'!$B$9,Paramètres!$A$1:$I$89,3,0)*VLOOKUP('Données projet'!$B$9,Paramètres!$A$1:$I$89,5,0)</f>
        <v>1.250327841262333E-13</v>
      </c>
      <c r="P61" s="13">
        <f t="shared" si="33"/>
        <v>1.8301318724634299E-12</v>
      </c>
      <c r="Q61" s="20">
        <f t="shared" si="53"/>
        <v>3.405245110226996E-12</v>
      </c>
      <c r="R61" s="59">
        <f t="shared" si="0"/>
        <v>293.33333333333672</v>
      </c>
      <c r="S61" s="59">
        <f ca="1">AVERAGE(OFFSET($R$3,0,0,'Données projet'!$E$9+1,1))-AVERAGE(OFFSET($H$3,0,0,'Données projet'!$E$9+1,1))</f>
        <v>193.60868637458515</v>
      </c>
      <c r="T61" s="59">
        <f t="shared" si="34"/>
        <v>272.97841038165217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6.2</v>
      </c>
      <c r="AI61" s="13">
        <f>IF('Données projet'!$A$62&gt;35,AI60+AH61-AQ60,IF(A61&lt;'Données projet'!$A$62,$AF$205^A61,IF(A61='Données projet'!$A$62,'Données projet'!$B$62,AI60+AH61-AQ60)))</f>
        <v>281.59999999999985</v>
      </c>
      <c r="AJ61" s="13">
        <f>AI61*VLOOKUP('Données projet'!$B$10,Paramètres!$A$1:$I$89,3,0)*VLOOKUP('Données projet'!$B$10,Paramètres!$A$1:$I$89,5,0)</f>
        <v>224.0409599999999</v>
      </c>
      <c r="AK61" s="13">
        <f t="shared" si="35"/>
        <v>54.992235867381233</v>
      </c>
      <c r="AL61" s="20">
        <f t="shared" si="4"/>
        <v>485.98281613568884</v>
      </c>
      <c r="AM61" s="59">
        <f t="shared" si="5"/>
        <v>779.31614946902209</v>
      </c>
      <c r="AN61" s="59">
        <f ca="1">AVERAGE(OFFSET($AM$3,0,0,'Données projet'!$E$10+1,1))-AVERAGE(OFFSET($H$3,0,0,'Données projet'!$E$10+1,1))</f>
        <v>281.79835088425858</v>
      </c>
      <c r="AO61" s="59">
        <f t="shared" si="36"/>
        <v>345.4750813433123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254.2</v>
      </c>
      <c r="BE61" s="13">
        <f>BD61*VLOOKUP('Données projet'!$B$11,Paramètres!$A$1:$I$89,3,0)*VLOOKUP('Données projet'!$B$11,Paramètres!$A$1:$I$89,5,0)</f>
        <v>230.00015999999997</v>
      </c>
      <c r="BF61" s="13">
        <f t="shared" si="37"/>
        <v>56.282716126880423</v>
      </c>
      <c r="BG61" s="20">
        <f t="shared" si="7"/>
        <v>498.60934258765002</v>
      </c>
      <c r="BH61" s="59">
        <f t="shared" si="8"/>
        <v>791.94267592098333</v>
      </c>
      <c r="BI61" s="59">
        <f ca="1">AVERAGE(OFFSET($BH$3,0,0,'Données projet'!$E$11+1,1))-AVERAGE(OFFSET($H$3,0,0,'Données projet'!$E$11+1,1))</f>
        <v>343.6089004382095</v>
      </c>
      <c r="BJ61" s="59">
        <f t="shared" si="38"/>
        <v>278.21741231699929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9.375</v>
      </c>
      <c r="BY61" s="12">
        <f>IF('Données projet'!$A$114&gt;35,BY60+BX61-CG60,IF(A61&lt;'Données projet'!$A$114,$BV$205^A61,IF(A61='Données projet'!$A$114,'Données projet'!$B$114,BY60+BX61-CG60)))</f>
        <v>278.24999999999989</v>
      </c>
      <c r="BZ61" s="13">
        <f>BY61*VLOOKUP('Données projet'!$B$12,Paramètres!$A$1:$I$89,3,0)*VLOOKUP('Données projet'!$B$12,Paramètres!$A$1:$I$89,5,0)</f>
        <v>217.03499999999991</v>
      </c>
      <c r="CA61" s="13">
        <f t="shared" si="39"/>
        <v>53.469949591969474</v>
      </c>
      <c r="CB61" s="20">
        <f t="shared" si="10"/>
        <v>471.12945387267996</v>
      </c>
      <c r="CC61" s="59">
        <f t="shared" si="11"/>
        <v>764.46278720601322</v>
      </c>
      <c r="CD61" s="59">
        <f ca="1">AVERAGE(OFFSET($CC$3,0,0,'Données projet'!$E$12+1,1))-AVERAGE(OFFSET($H$3,0,0,'Données projet'!$E$12+1,1))</f>
        <v>288.82868507674738</v>
      </c>
      <c r="CE61" s="59">
        <f t="shared" si="40"/>
        <v>283.48738729114024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1.4426614713574752</v>
      </c>
      <c r="CM61" s="21">
        <f>EXP(-LN(2)/2)*CM60+(1-EXP(-LN(2)/2))/(LN(2)/2)*CG61*CJ61*VLOOKUP('Données projet'!$B$12,Paramètres!$A$1:$I$89,3,0)*0.475*44/12</f>
        <v>1.9959151833084609E-4</v>
      </c>
      <c r="CN61" s="22">
        <f t="shared" si="12"/>
        <v>1.4428610628758061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10.8</v>
      </c>
      <c r="CT61" s="12">
        <f>IF('Données projet'!$A$140&gt;35,CT60+CS61-DB60,IF(A61&lt;'Données projet'!$A$140,$CQ$205^A61,IF(A61='Données projet'!$A$140,'Données projet'!$B$140,CT60+CS61-DB60)))</f>
        <v>248.40000000000006</v>
      </c>
      <c r="CU61" s="17">
        <f>CT61*VLOOKUP('Données projet'!$B$13,Paramètres!$A$1:$I$89,3,0)*VLOOKUP('Données projet'!$B$13,Paramètres!$A$1:$I$89,5,0)</f>
        <v>213.12720000000004</v>
      </c>
      <c r="CV61" s="13">
        <f t="shared" si="41"/>
        <v>52.618368568459893</v>
      </c>
      <c r="CW61" s="20">
        <f t="shared" si="13"/>
        <v>462.8401985900677</v>
      </c>
      <c r="CX61" s="59">
        <f t="shared" si="14"/>
        <v>756.17353192340101</v>
      </c>
      <c r="CY61" s="59">
        <f ca="1">AVERAGE(OFFSET($CX$3,0,0,'Données projet'!$E$13+1,1))-AVERAGE(OFFSET($H$3,0,0,'Données projet'!$E$13+1,1))</f>
        <v>273.73158910361786</v>
      </c>
      <c r="CZ61" s="59">
        <f t="shared" si="42"/>
        <v>256.77417912163997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16.8</v>
      </c>
      <c r="DO61" s="12">
        <f>IF('Données projet'!$A$166&gt;35,DO60+DN61-DW60,IF(A61&lt;'Données projet'!$A$166,$DL$205^A61,IF(A61='Données projet'!$A$166,'Données projet'!$B$166,DO60+DN61-DW60)))</f>
        <v>689.39999999999975</v>
      </c>
      <c r="DP61" s="17">
        <f>DO61*VLOOKUP('Données projet'!$B$14,Paramètres!$A$1:$I$89,3,0)*VLOOKUP('Données projet'!$B$14,Paramètres!$A$1:$I$89,5,0)</f>
        <v>385.37459999999987</v>
      </c>
      <c r="DQ61" s="13">
        <f t="shared" si="43"/>
        <v>88.805192600445807</v>
      </c>
      <c r="DR61" s="20">
        <f t="shared" si="16"/>
        <v>825.86313877910959</v>
      </c>
      <c r="DS61" s="59">
        <f t="shared" si="17"/>
        <v>1119.196472112443</v>
      </c>
      <c r="DT61" s="59">
        <f ca="1">AVERAGE(OFFSET($DS$3,0,0,'Données projet'!$E$14+1,1))-AVERAGE(OFFSET($H$3,0,0,'Données projet'!$E$14+1,1))</f>
        <v>534.78683721545372</v>
      </c>
      <c r="DU61" s="59">
        <f t="shared" si="44"/>
        <v>710.59298755711075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3.138944635082868</v>
      </c>
      <c r="EB61" s="21">
        <f>EXP(-LN(2)/25)*EB60+(1-EXP(-LN(2)/25))/(LN(2)/25)*Calculateur!DW61*Calculateur!DY61*VLOOKUP('Données projet'!$B$14,Paramètres!$A$1:$I$89,3,0)*0.475*44/12</f>
        <v>11.131082625403497</v>
      </c>
      <c r="EC61" s="21">
        <f>EXP(-LN(2)/2)*EC60+(1-EXP(-LN(2)/2))/(LN(2)/2)*DW61*DZ61*VLOOKUP('Données projet'!$B$14,Paramètres!$A$1:$I$89,3,0)*0.475*44/12</f>
        <v>7.1409106760773357E-4</v>
      </c>
      <c r="ED61" s="22">
        <f t="shared" si="18"/>
        <v>14.270741351553973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5.6843418860808015E-14</v>
      </c>
      <c r="EK61" s="17">
        <f>EJ61*VLOOKUP('Données projet'!$B$15,Paramètres!$A$1:$I$89,3,0)*VLOOKUP('Données projet'!$B$15,Paramètres!$A$1:$I$89,5,0)</f>
        <v>4.9658410716801891E-14</v>
      </c>
      <c r="EL61" s="13">
        <f t="shared" si="45"/>
        <v>8.0934058173791862E-13</v>
      </c>
      <c r="EM61" s="20">
        <f t="shared" si="19"/>
        <v>1.4960899118586383E-12</v>
      </c>
      <c r="EN61" s="59">
        <f t="shared" si="20"/>
        <v>293.33333333333479</v>
      </c>
      <c r="EO61" s="59">
        <f ca="1">AVERAGE(OFFSET($EN$3,0,0,'Données projet'!$E$15+1,1))-AVERAGE(OFFSET($H$3,0,0,'Données projet'!$E$15+1,1))</f>
        <v>255.2813753128475</v>
      </c>
      <c r="EP61" s="59">
        <f t="shared" si="46"/>
        <v>317.03005098025352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3.239784636458463</v>
      </c>
      <c r="EW61" s="21">
        <f>EXP(-LN(2)/25)*EW60+(1-EXP(-LN(2)/25))/(LN(2)/25)*Calculateur!ER61*Calculateur!ET61*VLOOKUP('Données projet'!$B$15,Paramètres!$A$1:$I$89,3,0)*0.475*44/12</f>
        <v>8.1139556078022288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11.353740244260692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1.7053025658242404E-13</v>
      </c>
      <c r="O62" s="13">
        <f>N62*VLOOKUP('Données projet'!$B$9,Paramètres!$A$1:$I$89,3,0)*VLOOKUP('Données projet'!$B$9,Paramètres!$A$1:$I$89,5,0)</f>
        <v>1.250327841262333E-13</v>
      </c>
      <c r="P62" s="13">
        <f t="shared" si="33"/>
        <v>1.8301318724634299E-12</v>
      </c>
      <c r="Q62" s="20">
        <f t="shared" si="53"/>
        <v>3.405245110226996E-12</v>
      </c>
      <c r="R62" s="59">
        <f t="shared" si="0"/>
        <v>293.33333333333672</v>
      </c>
      <c r="S62" s="59">
        <f ca="1">AVERAGE(OFFSET($R$3,0,0,'Données projet'!$E$9+1,1))-AVERAGE(OFFSET($H$3,0,0,'Données projet'!$E$9+1,1))</f>
        <v>193.60868637458515</v>
      </c>
      <c r="T62" s="59">
        <f t="shared" si="34"/>
        <v>272.97841038165217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6.2</v>
      </c>
      <c r="AI62" s="13">
        <f>IF('Données projet'!$A$62&gt;35,AI61+AH62-AQ61,IF(A62&lt;'Données projet'!$A$62,$AF$205^A62,IF(A62='Données projet'!$A$62,'Données projet'!$B$62,AI61+AH62-AQ61)))</f>
        <v>287.79999999999984</v>
      </c>
      <c r="AJ62" s="13">
        <f>AI62*VLOOKUP('Données projet'!$B$10,Paramètres!$A$1:$I$89,3,0)*VLOOKUP('Données projet'!$B$10,Paramètres!$A$1:$I$89,5,0)</f>
        <v>228.97367999999992</v>
      </c>
      <c r="AK62" s="13">
        <f t="shared" si="35"/>
        <v>56.060709423888284</v>
      </c>
      <c r="AL62" s="20">
        <f t="shared" si="4"/>
        <v>496.43489491327199</v>
      </c>
      <c r="AM62" s="59">
        <f t="shared" si="5"/>
        <v>789.7682282466053</v>
      </c>
      <c r="AN62" s="59">
        <f ca="1">AVERAGE(OFFSET($AM$3,0,0,'Données projet'!$E$10+1,1))-AVERAGE(OFFSET($H$3,0,0,'Données projet'!$E$10+1,1))</f>
        <v>281.79835088425858</v>
      </c>
      <c r="AO62" s="59">
        <f t="shared" si="36"/>
        <v>345.4750813433123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263.59999999999997</v>
      </c>
      <c r="BE62" s="13">
        <f>BD62*VLOOKUP('Données projet'!$B$11,Paramètres!$A$1:$I$89,3,0)*VLOOKUP('Données projet'!$B$11,Paramètres!$A$1:$I$89,5,0)</f>
        <v>238.50527999999997</v>
      </c>
      <c r="BF62" s="13">
        <f t="shared" si="37"/>
        <v>58.117817352909881</v>
      </c>
      <c r="BG62" s="20">
        <f t="shared" si="7"/>
        <v>516.61856122298457</v>
      </c>
      <c r="BH62" s="59">
        <f t="shared" si="8"/>
        <v>809.95189455631794</v>
      </c>
      <c r="BI62" s="59">
        <f ca="1">AVERAGE(OFFSET($BH$3,0,0,'Données projet'!$E$11+1,1))-AVERAGE(OFFSET($H$3,0,0,'Données projet'!$E$11+1,1))</f>
        <v>343.6089004382095</v>
      </c>
      <c r="BJ62" s="59">
        <f t="shared" si="38"/>
        <v>278.21741231699929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9.375</v>
      </c>
      <c r="BY62" s="12">
        <f>IF('Données projet'!$A$114&gt;35,BY61+BX62-CG61,IF(A62&lt;'Données projet'!$A$114,$BV$205^A62,IF(A62='Données projet'!$A$114,'Données projet'!$B$114,BY61+BX62-CG61)))</f>
        <v>287.62499999999989</v>
      </c>
      <c r="BZ62" s="13">
        <f>BY62*VLOOKUP('Données projet'!$B$12,Paramètres!$A$1:$I$89,3,0)*VLOOKUP('Données projet'!$B$12,Paramètres!$A$1:$I$89,5,0)</f>
        <v>224.34749999999991</v>
      </c>
      <c r="CA62" s="13">
        <f t="shared" si="39"/>
        <v>55.058714525680429</v>
      </c>
      <c r="CB62" s="20">
        <f t="shared" si="10"/>
        <v>486.63249029889329</v>
      </c>
      <c r="CC62" s="59">
        <f t="shared" si="11"/>
        <v>779.9658236322266</v>
      </c>
      <c r="CD62" s="59">
        <f ca="1">AVERAGE(OFFSET($CC$3,0,0,'Données projet'!$E$12+1,1))-AVERAGE(OFFSET($H$3,0,0,'Données projet'!$E$12+1,1))</f>
        <v>288.82868507674738</v>
      </c>
      <c r="CE62" s="59">
        <f t="shared" si="40"/>
        <v>283.48738729114024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1.4032118175569355</v>
      </c>
      <c r="CM62" s="21">
        <f>EXP(-LN(2)/2)*CM61+(1-EXP(-LN(2)/2))/(LN(2)/2)*CG62*CJ62*VLOOKUP('Données projet'!$B$12,Paramètres!$A$1:$I$89,3,0)*0.475*44/12</f>
        <v>1.4113251607906038E-4</v>
      </c>
      <c r="CN62" s="22">
        <f t="shared" si="12"/>
        <v>1.4033529500730146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10.8</v>
      </c>
      <c r="CT62" s="12">
        <f>IF('Données projet'!$A$140&gt;35,CT61+CS62-DB61,IF(A62&lt;'Données projet'!$A$140,$CQ$205^A62,IF(A62='Données projet'!$A$140,'Données projet'!$B$140,CT61+CS62-DB61)))</f>
        <v>259.20000000000005</v>
      </c>
      <c r="CU62" s="17">
        <f>CT62*VLOOKUP('Données projet'!$B$13,Paramètres!$A$1:$I$89,3,0)*VLOOKUP('Données projet'!$B$13,Paramètres!$A$1:$I$89,5,0)</f>
        <v>222.39360000000005</v>
      </c>
      <c r="CV62" s="13">
        <f t="shared" si="41"/>
        <v>54.634794757949287</v>
      </c>
      <c r="CW62" s="20">
        <f t="shared" si="13"/>
        <v>482.49112087009513</v>
      </c>
      <c r="CX62" s="59">
        <f t="shared" si="14"/>
        <v>775.82445420342844</v>
      </c>
      <c r="CY62" s="59">
        <f ca="1">AVERAGE(OFFSET($CX$3,0,0,'Données projet'!$E$13+1,1))-AVERAGE(OFFSET($H$3,0,0,'Données projet'!$E$13+1,1))</f>
        <v>273.73158910361786</v>
      </c>
      <c r="CZ62" s="59">
        <f t="shared" si="42"/>
        <v>256.77417912163997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16.8</v>
      </c>
      <c r="DO62" s="12">
        <f>IF('Données projet'!$A$166&gt;35,DO61+DN62-DW61,IF(A62&lt;'Données projet'!$A$166,$DL$205^A62,IF(A62='Données projet'!$A$166,'Données projet'!$B$166,DO61+DN62-DW61)))</f>
        <v>706.1999999999997</v>
      </c>
      <c r="DP62" s="17">
        <f>DO62*VLOOKUP('Données projet'!$B$14,Paramètres!$A$1:$I$89,3,0)*VLOOKUP('Données projet'!$B$14,Paramètres!$A$1:$I$89,5,0)</f>
        <v>394.76579999999984</v>
      </c>
      <c r="DQ62" s="13">
        <f t="shared" si="43"/>
        <v>90.714699385924675</v>
      </c>
      <c r="DR62" s="20">
        <f t="shared" si="16"/>
        <v>845.5452030971519</v>
      </c>
      <c r="DS62" s="59">
        <f t="shared" si="17"/>
        <v>1138.8785364304852</v>
      </c>
      <c r="DT62" s="59">
        <f ca="1">AVERAGE(OFFSET($DS$3,0,0,'Données projet'!$E$14+1,1))-AVERAGE(OFFSET($H$3,0,0,'Données projet'!$E$14+1,1))</f>
        <v>534.78683721545372</v>
      </c>
      <c r="DU62" s="59">
        <f t="shared" si="44"/>
        <v>710.59298755711075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3.0773918453560727</v>
      </c>
      <c r="EB62" s="21">
        <f>EXP(-LN(2)/25)*EB61+(1-EXP(-LN(2)/25))/(LN(2)/25)*Calculateur!DW62*Calculateur!DY62*VLOOKUP('Données projet'!$B$14,Paramètres!$A$1:$I$89,3,0)*0.475*44/12</f>
        <v>10.826702585653644</v>
      </c>
      <c r="EC62" s="21">
        <f>EXP(-LN(2)/2)*EC61+(1-EXP(-LN(2)/2))/(LN(2)/2)*DW62*DZ62*VLOOKUP('Données projet'!$B$14,Paramètres!$A$1:$I$89,3,0)*0.475*44/12</f>
        <v>5.0493863629016977E-4</v>
      </c>
      <c r="ED62" s="22">
        <f t="shared" si="18"/>
        <v>13.904599369646007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5.6843418860808015E-14</v>
      </c>
      <c r="EK62" s="17">
        <f>EJ62*VLOOKUP('Données projet'!$B$15,Paramètres!$A$1:$I$89,3,0)*VLOOKUP('Données projet'!$B$15,Paramètres!$A$1:$I$89,5,0)</f>
        <v>4.9658410716801891E-14</v>
      </c>
      <c r="EL62" s="13">
        <f t="shared" si="45"/>
        <v>8.0934058173791862E-13</v>
      </c>
      <c r="EM62" s="20">
        <f t="shared" si="19"/>
        <v>1.4960899118586383E-12</v>
      </c>
      <c r="EN62" s="59">
        <f t="shared" si="20"/>
        <v>293.33333333333479</v>
      </c>
      <c r="EO62" s="59">
        <f ca="1">AVERAGE(OFFSET($EN$3,0,0,'Données projet'!$E$15+1,1))-AVERAGE(OFFSET($H$3,0,0,'Données projet'!$E$15+1,1))</f>
        <v>255.2813753128475</v>
      </c>
      <c r="EP62" s="59">
        <f t="shared" si="46"/>
        <v>317.03005098025352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3.1762544358110198</v>
      </c>
      <c r="EW62" s="21">
        <f>EXP(-LN(2)/25)*EW61+(1-EXP(-LN(2)/25))/(LN(2)/25)*Calculateur!ER62*Calculateur!ET62*VLOOKUP('Données projet'!$B$15,Paramètres!$A$1:$I$89,3,0)*0.475*44/12</f>
        <v>7.8920790650124966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11.068333500823517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1.7053025658242404E-13</v>
      </c>
      <c r="O63" s="13">
        <f>N63*VLOOKUP('Données projet'!$B$9,Paramètres!$A$1:$I$89,3,0)*VLOOKUP('Données projet'!$B$9,Paramètres!$A$1:$I$89,5,0)</f>
        <v>1.250327841262333E-13</v>
      </c>
      <c r="P63" s="13">
        <f t="shared" si="33"/>
        <v>1.8301318724634299E-12</v>
      </c>
      <c r="Q63" s="20">
        <f t="shared" si="53"/>
        <v>3.405245110226996E-12</v>
      </c>
      <c r="R63" s="59">
        <f t="shared" si="0"/>
        <v>293.33333333333672</v>
      </c>
      <c r="S63" s="59">
        <f ca="1">AVERAGE(OFFSET($R$3,0,0,'Données projet'!$E$9+1,1))-AVERAGE(OFFSET($H$3,0,0,'Données projet'!$E$9+1,1))</f>
        <v>193.60868637458515</v>
      </c>
      <c r="T63" s="59">
        <f t="shared" si="34"/>
        <v>272.97841038165217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294</v>
      </c>
      <c r="AG63" s="12">
        <f>VLOOKUP(A63,'Données projet'!$A$61:$I$81,9,0)</f>
        <v>6.2</v>
      </c>
      <c r="AH63" s="12">
        <f t="array" ref="AH63">INDEX(AG:AG,MIN(IF(ISNUMBER(AG63:AG259),ROW(AG63:AG259),"")))</f>
        <v>6.2</v>
      </c>
      <c r="AI63" s="13">
        <f>IF('Données projet'!$A$62&gt;35,AI62+AH63-AQ62,IF(A63&lt;'Données projet'!$A$62,$AF$205^A63,IF(A63='Données projet'!$A$62,'Données projet'!$B$62,AI62+AH63-AQ62)))</f>
        <v>293.99999999999983</v>
      </c>
      <c r="AJ63" s="13">
        <f>AI63*VLOOKUP('Données projet'!$B$10,Paramètres!$A$1:$I$89,3,0)*VLOOKUP('Données projet'!$B$10,Paramètres!$A$1:$I$89,5,0)</f>
        <v>233.90639999999988</v>
      </c>
      <c r="AK63" s="13">
        <f t="shared" si="35"/>
        <v>57.126506840778347</v>
      </c>
      <c r="AL63" s="20">
        <f t="shared" si="4"/>
        <v>506.88231274768867</v>
      </c>
      <c r="AM63" s="59">
        <f t="shared" si="5"/>
        <v>800.21564608102199</v>
      </c>
      <c r="AN63" s="59">
        <f ca="1">AVERAGE(OFFSET($AM$3,0,0,'Données projet'!$E$10+1,1))-AVERAGE(OFFSET($H$3,0,0,'Données projet'!$E$10+1,1))</f>
        <v>281.79835088425858</v>
      </c>
      <c r="AO63" s="59">
        <f t="shared" si="36"/>
        <v>345.4750813433123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294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272.99999999999994</v>
      </c>
      <c r="BE63" s="13">
        <f>BD63*VLOOKUP('Données projet'!$B$11,Paramètres!$A$1:$I$89,3,0)*VLOOKUP('Données projet'!$B$11,Paramètres!$A$1:$I$89,5,0)</f>
        <v>247.01039999999992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827.94787109652862</v>
      </c>
      <c r="BI63" s="59">
        <f ca="1">AVERAGE(OFFSET($BH$3,0,0,'Données projet'!$E$11+1,1))-AVERAGE(OFFSET($H$3,0,0,'Données projet'!$E$11+1,1))</f>
        <v>343.6089004382095</v>
      </c>
      <c r="BJ63" s="59">
        <f t="shared" si="38"/>
        <v>278.21741231699929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297</v>
      </c>
      <c r="BW63" s="12">
        <f>VLOOKUP(A63,'Données projet'!$A$113:$I$133,9,0)</f>
        <v>9.375</v>
      </c>
      <c r="BX63" s="12">
        <f t="array" ref="BX63">INDEX(BW:BW,MIN(IF(ISNUMBER(BW63:BW259),ROW(BW63:BW259),"")))</f>
        <v>9.375</v>
      </c>
      <c r="BY63" s="12">
        <f>IF('Données projet'!$A$114&gt;35,BY62+BX63-CG62,IF(A63&lt;'Données projet'!$A$114,$BV$205^A63,IF(A63='Données projet'!$A$114,'Données projet'!$B$114,BY62+BX63-CG62)))</f>
        <v>296.99999999999989</v>
      </c>
      <c r="BZ63" s="13">
        <f>BY63*VLOOKUP('Données projet'!$B$12,Paramètres!$A$1:$I$89,3,0)*VLOOKUP('Données projet'!$B$12,Paramètres!$A$1:$I$89,5,0)</f>
        <v>231.65999999999991</v>
      </c>
      <c r="CA63" s="13">
        <f t="shared" si="39"/>
        <v>56.641461975682766</v>
      </c>
      <c r="CB63" s="20">
        <f t="shared" si="10"/>
        <v>502.125046274314</v>
      </c>
      <c r="CC63" s="59">
        <f t="shared" si="11"/>
        <v>795.45837960764732</v>
      </c>
      <c r="CD63" s="59">
        <f ca="1">AVERAGE(OFFSET($CC$3,0,0,'Données projet'!$E$12+1,1))-AVERAGE(OFFSET($H$3,0,0,'Données projet'!$E$12+1,1))</f>
        <v>288.82868507674738</v>
      </c>
      <c r="CE63" s="59">
        <f t="shared" si="40"/>
        <v>283.48738729114024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47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1.3648409166141386</v>
      </c>
      <c r="CM63" s="21">
        <f>EXP(-LN(2)/2)*CM62+(1-EXP(-LN(2)/2))/(LN(2)/2)*CG63*CJ63*VLOOKUP('Données projet'!$B$12,Paramètres!$A$1:$I$89,3,0)*0.475*44/12</f>
        <v>9.9795759165423046E-5</v>
      </c>
      <c r="CN63" s="22">
        <f t="shared" si="12"/>
        <v>1.3649407123733042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270</v>
      </c>
      <c r="CR63" s="12">
        <f>VLOOKUP(A63,'Données projet'!$A$139:$I$159,9,0)</f>
        <v>10.8</v>
      </c>
      <c r="CS63" s="12">
        <f t="array" ref="CS63">INDEX(CR:CR,MIN(IF(ISNUMBER(CR63:CR259),ROW(CR63:CR259),"")))</f>
        <v>10.8</v>
      </c>
      <c r="CT63" s="12">
        <f>IF('Données projet'!$A$140&gt;35,CT62+CS63-DB62,IF(A63&lt;'Données projet'!$A$140,$CQ$205^A63,IF(A63='Données projet'!$A$140,'Données projet'!$B$140,CT62+CS63-DB62)))</f>
        <v>270.00000000000006</v>
      </c>
      <c r="CU63" s="17">
        <f>CT63*VLOOKUP('Données projet'!$B$13,Paramètres!$A$1:$I$89,3,0)*VLOOKUP('Données projet'!$B$13,Paramètres!$A$1:$I$89,5,0)</f>
        <v>231.66000000000011</v>
      </c>
      <c r="CV63" s="13">
        <f t="shared" si="41"/>
        <v>56.641461975682823</v>
      </c>
      <c r="CW63" s="20">
        <f t="shared" si="13"/>
        <v>502.1250462743144</v>
      </c>
      <c r="CX63" s="59">
        <f t="shared" si="14"/>
        <v>795.45837960764766</v>
      </c>
      <c r="CY63" s="59">
        <f ca="1">AVERAGE(OFFSET($CX$3,0,0,'Données projet'!$E$13+1,1))-AVERAGE(OFFSET($H$3,0,0,'Données projet'!$E$13+1,1))</f>
        <v>273.73158910361786</v>
      </c>
      <c r="CZ63" s="59">
        <f t="shared" si="42"/>
        <v>256.77417912163997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723</v>
      </c>
      <c r="DM63" s="12">
        <f>VLOOKUP(A63,'Données projet'!$A$165:$I$185,9,0)</f>
        <v>16.8</v>
      </c>
      <c r="DN63" s="12">
        <f t="array" ref="DN63">INDEX(DM:DM,MIN(IF(ISNUMBER(DM63:DM259),ROW(DM63:DM259),"")))</f>
        <v>16.8</v>
      </c>
      <c r="DO63" s="12">
        <f>IF('Données projet'!$A$166&gt;35,DO62+DN63-DW62,IF(A63&lt;'Données projet'!$A$166,$DL$205^A63,IF(A63='Données projet'!$A$166,'Données projet'!$B$166,DO62+DN63-DW62)))</f>
        <v>722.99999999999966</v>
      </c>
      <c r="DP63" s="17">
        <f>DO63*VLOOKUP('Données projet'!$B$14,Paramètres!$A$1:$I$89,3,0)*VLOOKUP('Données projet'!$B$14,Paramètres!$A$1:$I$89,5,0)</f>
        <v>404.15699999999987</v>
      </c>
      <c r="DQ63" s="13">
        <f t="shared" si="43"/>
        <v>92.618925393623158</v>
      </c>
      <c r="DR63" s="20">
        <f t="shared" si="16"/>
        <v>865.21807006056008</v>
      </c>
      <c r="DS63" s="59">
        <f t="shared" si="17"/>
        <v>1158.5514033938935</v>
      </c>
      <c r="DT63" s="59">
        <f ca="1">AVERAGE(OFFSET($DS$3,0,0,'Données projet'!$E$14+1,1))-AVERAGE(OFFSET($H$3,0,0,'Données projet'!$E$14+1,1))</f>
        <v>534.78683721545372</v>
      </c>
      <c r="DU63" s="59">
        <f t="shared" si="44"/>
        <v>710.59298755711075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723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3.0170460682923252</v>
      </c>
      <c r="EB63" s="21">
        <f>EXP(-LN(2)/25)*EB62+(1-EXP(-LN(2)/25))/(LN(2)/25)*Calculateur!DW63*Calculateur!DY63*VLOOKUP('Données projet'!$B$14,Paramètres!$A$1:$I$89,3,0)*0.475*44/12</f>
        <v>10.530645834097401</v>
      </c>
      <c r="EC63" s="21">
        <f>EXP(-LN(2)/2)*EC62+(1-EXP(-LN(2)/2))/(LN(2)/2)*DW63*DZ63*VLOOKUP('Données projet'!$B$14,Paramètres!$A$1:$I$89,3,0)*0.475*44/12</f>
        <v>3.5704553380386679E-4</v>
      </c>
      <c r="ED63" s="22">
        <f t="shared" si="18"/>
        <v>13.54804894792353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5.6843418860808015E-14</v>
      </c>
      <c r="EK63" s="17">
        <f>EJ63*VLOOKUP('Données projet'!$B$15,Paramètres!$A$1:$I$89,3,0)*VLOOKUP('Données projet'!$B$15,Paramètres!$A$1:$I$89,5,0)</f>
        <v>4.9658410716801891E-14</v>
      </c>
      <c r="EL63" s="13">
        <f t="shared" si="45"/>
        <v>8.0934058173791862E-13</v>
      </c>
      <c r="EM63" s="20">
        <f t="shared" si="19"/>
        <v>1.4960899118586383E-12</v>
      </c>
      <c r="EN63" s="59">
        <f t="shared" si="20"/>
        <v>293.33333333333479</v>
      </c>
      <c r="EO63" s="59">
        <f ca="1">AVERAGE(OFFSET($EN$3,0,0,'Données projet'!$E$15+1,1))-AVERAGE(OFFSET($H$3,0,0,'Données projet'!$E$15+1,1))</f>
        <v>255.2813753128475</v>
      </c>
      <c r="EP63" s="59">
        <f t="shared" si="46"/>
        <v>317.03005098025352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3.1139700236486769</v>
      </c>
      <c r="EW63" s="21">
        <f>EXP(-LN(2)/25)*EW62+(1-EXP(-LN(2)/25))/(LN(2)/25)*Calculateur!ER63*Calculateur!ET63*VLOOKUP('Données projet'!$B$15,Paramètres!$A$1:$I$89,3,0)*0.475*44/12</f>
        <v>7.6762697479533291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10.790239771602007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1.7053025658242404E-13</v>
      </c>
      <c r="O64" s="13">
        <f>N64*VLOOKUP('Données projet'!$B$9,Paramètres!$A$1:$I$89,3,0)*VLOOKUP('Données projet'!$B$9,Paramètres!$A$1:$I$89,5,0)</f>
        <v>1.250327841262333E-13</v>
      </c>
      <c r="P64" s="13">
        <f t="shared" si="33"/>
        <v>1.8301318724634299E-12</v>
      </c>
      <c r="Q64" s="20">
        <f t="shared" si="53"/>
        <v>3.405245110226996E-12</v>
      </c>
      <c r="R64" s="59">
        <f t="shared" si="0"/>
        <v>293.33333333333672</v>
      </c>
      <c r="S64" s="59">
        <f ca="1">AVERAGE(OFFSET($R$3,0,0,'Données projet'!$E$9+1,1))-AVERAGE(OFFSET($H$3,0,0,'Données projet'!$E$9+1,1))</f>
        <v>193.60868637458515</v>
      </c>
      <c r="T64" s="59">
        <f t="shared" si="34"/>
        <v>272.97841038165217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-1.3567387213697657E-13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281.79835088425858</v>
      </c>
      <c r="AO64" s="59">
        <f t="shared" si="36"/>
        <v>345.4750813433123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253.79999999999995</v>
      </c>
      <c r="BE64" s="13">
        <f>BD64*VLOOKUP('Données projet'!$B$11,Paramètres!$A$1:$I$89,3,0)*VLOOKUP('Données projet'!$B$11,Paramètres!$A$1:$I$89,5,0)</f>
        <v>229.63823999999994</v>
      </c>
      <c r="BF64" s="13">
        <f t="shared" si="37"/>
        <v>56.204453396569633</v>
      </c>
      <c r="BG64" s="20">
        <f t="shared" si="7"/>
        <v>497.84269099902531</v>
      </c>
      <c r="BH64" s="59">
        <f t="shared" si="8"/>
        <v>791.17602433235857</v>
      </c>
      <c r="BI64" s="59">
        <f ca="1">AVERAGE(OFFSET($BH$3,0,0,'Données projet'!$E$11+1,1))-AVERAGE(OFFSET($H$3,0,0,'Données projet'!$E$11+1,1))</f>
        <v>343.6089004382095</v>
      </c>
      <c r="BJ64" s="59">
        <f t="shared" si="38"/>
        <v>278.21741231699929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8.6666666666666661</v>
      </c>
      <c r="BY64" s="12">
        <f>IF('Données projet'!$A$114&gt;35,BY63+BX64-CG63,IF(A64&lt;'Données projet'!$A$114,$BV$205^A64,IF(A64='Données projet'!$A$114,'Données projet'!$B$114,BY63+BX64-CG63)))</f>
        <v>258.66666666666657</v>
      </c>
      <c r="BZ64" s="13">
        <f>BY64*VLOOKUP('Données projet'!$B$12,Paramètres!$A$1:$I$89,3,0)*VLOOKUP('Données projet'!$B$12,Paramètres!$A$1:$I$89,5,0)</f>
        <v>201.75999999999993</v>
      </c>
      <c r="CA64" s="13">
        <f t="shared" si="39"/>
        <v>50.130765000424169</v>
      </c>
      <c r="CB64" s="20">
        <f t="shared" si="10"/>
        <v>438.70974904240529</v>
      </c>
      <c r="CC64" s="59">
        <f t="shared" si="11"/>
        <v>732.04308237573855</v>
      </c>
      <c r="CD64" s="59">
        <f ca="1">AVERAGE(OFFSET($CC$3,0,0,'Données projet'!$E$12+1,1))-AVERAGE(OFFSET($H$3,0,0,'Données projet'!$E$12+1,1))</f>
        <v>288.82868507674738</v>
      </c>
      <c r="CE64" s="59">
        <f t="shared" si="40"/>
        <v>283.48738729114024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1.3275192699754605</v>
      </c>
      <c r="CM64" s="21">
        <f>EXP(-LN(2)/2)*CM63+(1-EXP(-LN(2)/2))/(LN(2)/2)*CG64*CJ64*VLOOKUP('Données projet'!$B$12,Paramètres!$A$1:$I$89,3,0)*0.475*44/12</f>
        <v>7.0566258039530188E-5</v>
      </c>
      <c r="CN64" s="22">
        <f t="shared" si="12"/>
        <v>1.3275898362335001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10.4</v>
      </c>
      <c r="CT64" s="12">
        <f>IF('Données projet'!$A$140&gt;35,CT63+CS64-DB63,IF(A64&lt;'Données projet'!$A$140,$CQ$205^A64,IF(A64='Données projet'!$A$140,'Données projet'!$B$140,CT63+CS64-DB63)))</f>
        <v>252.40000000000003</v>
      </c>
      <c r="CU64" s="17">
        <f>CT64*VLOOKUP('Données projet'!$B$13,Paramètres!$A$1:$I$89,3,0)*VLOOKUP('Données projet'!$B$13,Paramètres!$A$1:$I$89,5,0)</f>
        <v>216.55920000000003</v>
      </c>
      <c r="CV64" s="13">
        <f t="shared" si="41"/>
        <v>53.366360125240483</v>
      </c>
      <c r="CW64" s="20">
        <f t="shared" si="13"/>
        <v>470.12035055146049</v>
      </c>
      <c r="CX64" s="59">
        <f t="shared" si="14"/>
        <v>763.4536838847938</v>
      </c>
      <c r="CY64" s="59">
        <f ca="1">AVERAGE(OFFSET($CX$3,0,0,'Données projet'!$E$13+1,1))-AVERAGE(OFFSET($H$3,0,0,'Données projet'!$E$13+1,1))</f>
        <v>273.73158910361786</v>
      </c>
      <c r="CZ64" s="59">
        <f t="shared" si="42"/>
        <v>256.77417912163997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-3.4106051316484809E-13</v>
      </c>
      <c r="DP64" s="17">
        <f>DO64*VLOOKUP('Données projet'!$B$14,Paramètres!$A$1:$I$89,3,0)*VLOOKUP('Données projet'!$B$14,Paramètres!$A$1:$I$89,5,0)</f>
        <v>-1.9065282685915009E-13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534.78683721545372</v>
      </c>
      <c r="DU64" s="59">
        <f t="shared" si="44"/>
        <v>710.59298755711075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2.9578836351095079</v>
      </c>
      <c r="EB64" s="21">
        <f>EXP(-LN(2)/25)*EB63+(1-EXP(-LN(2)/25))/(LN(2)/25)*Calculateur!DW64*Calculateur!DY64*VLOOKUP('Données projet'!$B$14,Paramètres!$A$1:$I$89,3,0)*0.475*44/12</f>
        <v>10.242684769981411</v>
      </c>
      <c r="EC64" s="21">
        <f>EXP(-LN(2)/2)*EC63+(1-EXP(-LN(2)/2))/(LN(2)/2)*DW64*DZ64*VLOOKUP('Données projet'!$B$14,Paramètres!$A$1:$I$89,3,0)*0.475*44/12</f>
        <v>2.5246931814508489E-4</v>
      </c>
      <c r="ED64" s="22">
        <f t="shared" si="18"/>
        <v>13.200820874409064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5.6843418860808015E-14</v>
      </c>
      <c r="EK64" s="17">
        <f>EJ64*VLOOKUP('Données projet'!$B$15,Paramètres!$A$1:$I$89,3,0)*VLOOKUP('Données projet'!$B$15,Paramètres!$A$1:$I$89,5,0)</f>
        <v>4.9658410716801891E-14</v>
      </c>
      <c r="EL64" s="13">
        <f t="shared" si="45"/>
        <v>8.0934058173791862E-13</v>
      </c>
      <c r="EM64" s="20">
        <f t="shared" si="19"/>
        <v>1.4960899118586383E-12</v>
      </c>
      <c r="EN64" s="59">
        <f t="shared" si="20"/>
        <v>293.33333333333479</v>
      </c>
      <c r="EO64" s="59">
        <f ca="1">AVERAGE(OFFSET($EN$3,0,0,'Données projet'!$E$15+1,1))-AVERAGE(OFFSET($H$3,0,0,'Données projet'!$E$15+1,1))</f>
        <v>255.2813753128475</v>
      </c>
      <c r="EP64" s="59">
        <f t="shared" si="46"/>
        <v>317.03005098025352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3.0529069708190972</v>
      </c>
      <c r="EW64" s="21">
        <f>EXP(-LN(2)/25)*EW63+(1-EXP(-LN(2)/25))/(LN(2)/25)*Calculateur!ER64*Calculateur!ET64*VLOOKUP('Données projet'!$B$15,Paramètres!$A$1:$I$89,3,0)*0.475*44/12</f>
        <v>7.4663617480180635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10.519268718837161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1.7053025658242404E-13</v>
      </c>
      <c r="O65" s="13">
        <f>N65*VLOOKUP('Données projet'!$B$9,Paramètres!$A$1:$I$89,3,0)*VLOOKUP('Données projet'!$B$9,Paramètres!$A$1:$I$89,5,0)</f>
        <v>1.250327841262333E-13</v>
      </c>
      <c r="P65" s="13">
        <f t="shared" si="33"/>
        <v>1.8301318724634299E-12</v>
      </c>
      <c r="Q65" s="20">
        <f t="shared" si="53"/>
        <v>3.405245110226996E-12</v>
      </c>
      <c r="R65" s="59">
        <f t="shared" si="0"/>
        <v>293.33333333333672</v>
      </c>
      <c r="S65" s="59">
        <f ca="1">AVERAGE(OFFSET($R$3,0,0,'Données projet'!$E$9+1,1))-AVERAGE(OFFSET($H$3,0,0,'Données projet'!$E$9+1,1))</f>
        <v>193.60868637458515</v>
      </c>
      <c r="T65" s="59">
        <f t="shared" si="34"/>
        <v>272.97841038165217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-1.3567387213697657E-13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281.79835088425858</v>
      </c>
      <c r="AO65" s="59">
        <f t="shared" si="36"/>
        <v>345.4750813433123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262.59999999999997</v>
      </c>
      <c r="BE65" s="13">
        <f>BD65*VLOOKUP('Données projet'!$B$11,Paramètres!$A$1:$I$89,3,0)*VLOOKUP('Données projet'!$B$11,Paramètres!$A$1:$I$89,5,0)</f>
        <v>237.60047999999995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808.03665892907816</v>
      </c>
      <c r="BI65" s="59">
        <f ca="1">AVERAGE(OFFSET($BH$3,0,0,'Données projet'!$E$11+1,1))-AVERAGE(OFFSET($H$3,0,0,'Données projet'!$E$11+1,1))</f>
        <v>343.6089004382095</v>
      </c>
      <c r="BJ65" s="59">
        <f t="shared" si="38"/>
        <v>278.21741231699929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8.6666666666666661</v>
      </c>
      <c r="BY65" s="12">
        <f>IF('Données projet'!$A$114&gt;35,BY64+BX65-CG64,IF(A65&lt;'Données projet'!$A$114,$BV$205^A65,IF(A65='Données projet'!$A$114,'Données projet'!$B$114,BY64+BX65-CG64)))</f>
        <v>267.33333333333326</v>
      </c>
      <c r="BZ65" s="13">
        <f>BY65*VLOOKUP('Données projet'!$B$12,Paramètres!$A$1:$I$89,3,0)*VLOOKUP('Données projet'!$B$12,Paramètres!$A$1:$I$89,5,0)</f>
        <v>208.51999999999995</v>
      </c>
      <c r="CA65" s="13">
        <f t="shared" si="39"/>
        <v>51.612035456318459</v>
      </c>
      <c r="CB65" s="20">
        <f t="shared" si="10"/>
        <v>453.06329508642119</v>
      </c>
      <c r="CC65" s="59">
        <f t="shared" si="11"/>
        <v>746.39662841975451</v>
      </c>
      <c r="CD65" s="59">
        <f ca="1">AVERAGE(OFFSET($CC$3,0,0,'Données projet'!$E$12+1,1))-AVERAGE(OFFSET($H$3,0,0,'Données projet'!$E$12+1,1))</f>
        <v>288.82868507674738</v>
      </c>
      <c r="CE65" s="59">
        <f t="shared" si="40"/>
        <v>283.48738729114024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1.2912181857267773</v>
      </c>
      <c r="CM65" s="21">
        <f>EXP(-LN(2)/2)*CM64+(1-EXP(-LN(2)/2))/(LN(2)/2)*CG65*CJ65*VLOOKUP('Données projet'!$B$12,Paramètres!$A$1:$I$89,3,0)*0.475*44/12</f>
        <v>4.9897879582711523E-5</v>
      </c>
      <c r="CN65" s="22">
        <f t="shared" si="12"/>
        <v>1.2912680836063599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10.4</v>
      </c>
      <c r="CT65" s="12">
        <f>IF('Données projet'!$A$140&gt;35,CT64+CS65-DB64,IF(A65&lt;'Données projet'!$A$140,$CQ$205^A65,IF(A65='Données projet'!$A$140,'Données projet'!$B$140,CT64+CS65-DB64)))</f>
        <v>262.8</v>
      </c>
      <c r="CU65" s="17">
        <f>CT65*VLOOKUP('Données projet'!$B$13,Paramètres!$A$1:$I$89,3,0)*VLOOKUP('Données projet'!$B$13,Paramètres!$A$1:$I$89,5,0)</f>
        <v>225.48240000000004</v>
      </c>
      <c r="CV65" s="13">
        <f t="shared" si="41"/>
        <v>55.304745901414371</v>
      </c>
      <c r="CW65" s="20">
        <f t="shared" si="13"/>
        <v>489.03761244496349</v>
      </c>
      <c r="CX65" s="59">
        <f t="shared" si="14"/>
        <v>782.3709457782968</v>
      </c>
      <c r="CY65" s="59">
        <f ca="1">AVERAGE(OFFSET($CX$3,0,0,'Données projet'!$E$13+1,1))-AVERAGE(OFFSET($H$3,0,0,'Données projet'!$E$13+1,1))</f>
        <v>273.73158910361786</v>
      </c>
      <c r="CZ65" s="59">
        <f t="shared" si="42"/>
        <v>256.77417912163997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-3.4106051316484809E-13</v>
      </c>
      <c r="DP65" s="17">
        <f>DO65*VLOOKUP('Données projet'!$B$14,Paramètres!$A$1:$I$89,3,0)*VLOOKUP('Données projet'!$B$14,Paramètres!$A$1:$I$89,5,0)</f>
        <v>-1.9065282685915009E-13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534.78683721545372</v>
      </c>
      <c r="DU65" s="59">
        <f t="shared" si="44"/>
        <v>710.59298755711075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2.8998813411558846</v>
      </c>
      <c r="EB65" s="21">
        <f>EXP(-LN(2)/25)*EB64+(1-EXP(-LN(2)/25))/(LN(2)/25)*Calculateur!DW65*Calculateur!DY65*VLOOKUP('Données projet'!$B$14,Paramètres!$A$1:$I$89,3,0)*0.475*44/12</f>
        <v>9.9625980163068864</v>
      </c>
      <c r="EC65" s="21">
        <f>EXP(-LN(2)/2)*EC64+(1-EXP(-LN(2)/2))/(LN(2)/2)*DW65*DZ65*VLOOKUP('Données projet'!$B$14,Paramètres!$A$1:$I$89,3,0)*0.475*44/12</f>
        <v>1.7852276690193339E-4</v>
      </c>
      <c r="ED65" s="22">
        <f t="shared" si="18"/>
        <v>12.862657880229673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5.6843418860808015E-14</v>
      </c>
      <c r="EK65" s="17">
        <f>EJ65*VLOOKUP('Données projet'!$B$15,Paramètres!$A$1:$I$89,3,0)*VLOOKUP('Données projet'!$B$15,Paramètres!$A$1:$I$89,5,0)</f>
        <v>4.9658410716801891E-14</v>
      </c>
      <c r="EL65" s="13">
        <f t="shared" si="45"/>
        <v>8.0934058173791862E-13</v>
      </c>
      <c r="EM65" s="20">
        <f t="shared" si="19"/>
        <v>1.4960899118586383E-12</v>
      </c>
      <c r="EN65" s="59">
        <f t="shared" si="20"/>
        <v>293.33333333333479</v>
      </c>
      <c r="EO65" s="59">
        <f ca="1">AVERAGE(OFFSET($EN$3,0,0,'Données projet'!$E$15+1,1))-AVERAGE(OFFSET($H$3,0,0,'Données projet'!$E$15+1,1))</f>
        <v>255.2813753128475</v>
      </c>
      <c r="EP65" s="59">
        <f t="shared" si="46"/>
        <v>317.03005098025352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2.993041327210721</v>
      </c>
      <c r="EW65" s="21">
        <f>EXP(-LN(2)/25)*EW64+(1-EXP(-LN(2)/25))/(LN(2)/25)*Calculateur!ER65*Calculateur!ET65*VLOOKUP('Données projet'!$B$15,Paramètres!$A$1:$I$89,3,0)*0.475*44/12</f>
        <v>7.2621936933796096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10.25523502059033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1.7053025658242404E-13</v>
      </c>
      <c r="O66" s="13">
        <f>N66*VLOOKUP('Données projet'!$B$9,Paramètres!$A$1:$I$89,3,0)*VLOOKUP('Données projet'!$B$9,Paramètres!$A$1:$I$89,5,0)</f>
        <v>1.250327841262333E-13</v>
      </c>
      <c r="P66" s="13">
        <f t="shared" si="33"/>
        <v>1.8301318724634299E-12</v>
      </c>
      <c r="Q66" s="20">
        <f t="shared" si="53"/>
        <v>3.405245110226996E-12</v>
      </c>
      <c r="R66" s="59">
        <f t="shared" si="0"/>
        <v>293.33333333333672</v>
      </c>
      <c r="S66" s="59">
        <f ca="1">AVERAGE(OFFSET($R$3,0,0,'Données projet'!$E$9+1,1))-AVERAGE(OFFSET($H$3,0,0,'Données projet'!$E$9+1,1))</f>
        <v>193.60868637458515</v>
      </c>
      <c r="T66" s="59">
        <f t="shared" si="34"/>
        <v>272.97841038165217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-1.3567387213697657E-13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281.79835088425858</v>
      </c>
      <c r="AO66" s="59">
        <f t="shared" si="36"/>
        <v>345.4750813433123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271.39999999999998</v>
      </c>
      <c r="BE66" s="13">
        <f>BD66*VLOOKUP('Données projet'!$B$11,Paramètres!$A$1:$I$89,3,0)*VLOOKUP('Données projet'!$B$11,Paramètres!$A$1:$I$89,5,0)</f>
        <v>245.56271999999998</v>
      </c>
      <c r="BF66" s="13">
        <f t="shared" si="37"/>
        <v>59.634776048276898</v>
      </c>
      <c r="BG66" s="20">
        <f t="shared" si="7"/>
        <v>531.55230561741564</v>
      </c>
      <c r="BH66" s="59">
        <f t="shared" si="8"/>
        <v>824.8856389507489</v>
      </c>
      <c r="BI66" s="59">
        <f ca="1">AVERAGE(OFFSET($BH$3,0,0,'Données projet'!$E$11+1,1))-AVERAGE(OFFSET($H$3,0,0,'Données projet'!$E$11+1,1))</f>
        <v>343.6089004382095</v>
      </c>
      <c r="BJ66" s="59">
        <f t="shared" si="38"/>
        <v>278.21741231699929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8.6666666666666661</v>
      </c>
      <c r="BY66" s="12">
        <f>IF('Données projet'!$A$114&gt;35,BY65+BX66-CG65,IF(A66&lt;'Données projet'!$A$114,$BV$205^A66,IF(A66='Données projet'!$A$114,'Données projet'!$B$114,BY65+BX66-CG65)))</f>
        <v>275.99999999999994</v>
      </c>
      <c r="BZ66" s="13">
        <f>BY66*VLOOKUP('Données projet'!$B$12,Paramètres!$A$1:$I$89,3,0)*VLOOKUP('Données projet'!$B$12,Paramètres!$A$1:$I$89,5,0)</f>
        <v>215.27999999999997</v>
      </c>
      <c r="CA66" s="13">
        <f t="shared" si="39"/>
        <v>53.087725740853138</v>
      </c>
      <c r="CB66" s="20">
        <f t="shared" si="10"/>
        <v>467.40712233198587</v>
      </c>
      <c r="CC66" s="59">
        <f t="shared" si="11"/>
        <v>760.74045566531913</v>
      </c>
      <c r="CD66" s="59">
        <f ca="1">AVERAGE(OFFSET($CC$3,0,0,'Données projet'!$E$12+1,1))-AVERAGE(OFFSET($H$3,0,0,'Données projet'!$E$12+1,1))</f>
        <v>288.82868507674738</v>
      </c>
      <c r="CE66" s="59">
        <f t="shared" si="40"/>
        <v>283.48738729114024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1.2559097565358652</v>
      </c>
      <c r="CM66" s="21">
        <f>EXP(-LN(2)/2)*CM65+(1-EXP(-LN(2)/2))/(LN(2)/2)*CG66*CJ66*VLOOKUP('Données projet'!$B$12,Paramètres!$A$1:$I$89,3,0)*0.475*44/12</f>
        <v>3.5283129019765094E-5</v>
      </c>
      <c r="CN66" s="22">
        <f t="shared" si="12"/>
        <v>1.255945039664885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10.4</v>
      </c>
      <c r="CT66" s="12">
        <f>IF('Données projet'!$A$140&gt;35,CT65+CS66-DB65,IF(A66&lt;'Données projet'!$A$140,$CQ$205^A66,IF(A66='Données projet'!$A$140,'Données projet'!$B$140,CT65+CS66-DB65)))</f>
        <v>273.2</v>
      </c>
      <c r="CU66" s="17">
        <f>CT66*VLOOKUP('Données projet'!$B$13,Paramètres!$A$1:$I$89,3,0)*VLOOKUP('Données projet'!$B$13,Paramètres!$A$1:$I$89,5,0)</f>
        <v>234.40560000000005</v>
      </c>
      <c r="CV66" s="13">
        <f t="shared" si="41"/>
        <v>57.234220788626125</v>
      </c>
      <c r="CW66" s="20">
        <f t="shared" si="13"/>
        <v>507.93935454019061</v>
      </c>
      <c r="CX66" s="59">
        <f t="shared" si="14"/>
        <v>801.27268787352386</v>
      </c>
      <c r="CY66" s="59">
        <f ca="1">AVERAGE(OFFSET($CX$3,0,0,'Données projet'!$E$13+1,1))-AVERAGE(OFFSET($H$3,0,0,'Données projet'!$E$13+1,1))</f>
        <v>273.73158910361786</v>
      </c>
      <c r="CZ66" s="59">
        <f t="shared" si="42"/>
        <v>256.77417912163997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-3.4106051316484809E-13</v>
      </c>
      <c r="DP66" s="17">
        <f>DO66*VLOOKUP('Données projet'!$B$14,Paramètres!$A$1:$I$89,3,0)*VLOOKUP('Données projet'!$B$14,Paramètres!$A$1:$I$89,5,0)</f>
        <v>-1.9065282685915009E-13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534.78683721545372</v>
      </c>
      <c r="DU66" s="59">
        <f t="shared" si="44"/>
        <v>710.59298755711075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2.843016436808786</v>
      </c>
      <c r="EB66" s="21">
        <f>EXP(-LN(2)/25)*EB65+(1-EXP(-LN(2)/25))/(LN(2)/25)*Calculateur!DW66*Calculateur!DY66*VLOOKUP('Données projet'!$B$14,Paramètres!$A$1:$I$89,3,0)*0.475*44/12</f>
        <v>9.6901702496407154</v>
      </c>
      <c r="EC66" s="21">
        <f>EXP(-LN(2)/2)*EC65+(1-EXP(-LN(2)/2))/(LN(2)/2)*DW66*DZ66*VLOOKUP('Données projet'!$B$14,Paramètres!$A$1:$I$89,3,0)*0.475*44/12</f>
        <v>1.2623465907254244E-4</v>
      </c>
      <c r="ED66" s="22">
        <f t="shared" si="18"/>
        <v>12.533312921108573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5.6843418860808015E-14</v>
      </c>
      <c r="EK66" s="17">
        <f>EJ66*VLOOKUP('Données projet'!$B$15,Paramètres!$A$1:$I$89,3,0)*VLOOKUP('Données projet'!$B$15,Paramètres!$A$1:$I$89,5,0)</f>
        <v>4.9658410716801891E-14</v>
      </c>
      <c r="EL66" s="13">
        <f t="shared" si="45"/>
        <v>8.0934058173791862E-13</v>
      </c>
      <c r="EM66" s="20">
        <f t="shared" si="19"/>
        <v>1.4960899118586383E-12</v>
      </c>
      <c r="EN66" s="59">
        <f t="shared" si="20"/>
        <v>293.33333333333479</v>
      </c>
      <c r="EO66" s="59">
        <f ca="1">AVERAGE(OFFSET($EN$3,0,0,'Données projet'!$E$15+1,1))-AVERAGE(OFFSET($H$3,0,0,'Données projet'!$E$15+1,1))</f>
        <v>255.2813753128475</v>
      </c>
      <c r="EP66" s="59">
        <f t="shared" si="46"/>
        <v>317.03005098025352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2.934349612359068</v>
      </c>
      <c r="EW66" s="21">
        <f>EXP(-LN(2)/25)*EW65+(1-EXP(-LN(2)/25))/(LN(2)/25)*Calculateur!ER66*Calculateur!ET66*VLOOKUP('Données projet'!$B$15,Paramètres!$A$1:$I$89,3,0)*0.475*44/12</f>
        <v>7.0636086249319758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9.9979582372910443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1.7053025658242404E-13</v>
      </c>
      <c r="O67" s="13">
        <f>N67*VLOOKUP('Données projet'!$B$9,Paramètres!$A$1:$I$89,3,0)*VLOOKUP('Données projet'!$B$9,Paramètres!$A$1:$I$89,5,0)</f>
        <v>1.250327841262333E-13</v>
      </c>
      <c r="P67" s="13">
        <f t="shared" si="33"/>
        <v>1.8301318724634299E-12</v>
      </c>
      <c r="Q67" s="20">
        <f t="shared" ref="Q67:Q98" si="54">(O67+P67)*0.475*44/12</f>
        <v>3.405245110226996E-12</v>
      </c>
      <c r="R67" s="59">
        <f t="shared" ref="R67:R130" si="55">Q67+(I67+J67)*44/12</f>
        <v>293.33333333333672</v>
      </c>
      <c r="S67" s="59">
        <f ca="1">AVERAGE(OFFSET($R$3,0,0,'Données projet'!$E$9+1,1))-AVERAGE(OFFSET($H$3,0,0,'Données projet'!$E$9+1,1))</f>
        <v>193.60868637458515</v>
      </c>
      <c r="T67" s="59">
        <f t="shared" si="34"/>
        <v>272.97841038165217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-1.3567387213697657E-13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281.79835088425858</v>
      </c>
      <c r="AO67" s="59">
        <f t="shared" si="36"/>
        <v>345.4750813433123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280.2</v>
      </c>
      <c r="BE67" s="13">
        <f>BD67*VLOOKUP('Données projet'!$B$11,Paramètres!$A$1:$I$89,3,0)*VLOOKUP('Données projet'!$B$11,Paramètres!$A$1:$I$89,5,0)</f>
        <v>253.52495999999999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841.72338563225185</v>
      </c>
      <c r="BI67" s="59">
        <f ca="1">AVERAGE(OFFSET($BH$3,0,0,'Données projet'!$E$11+1,1))-AVERAGE(OFFSET($H$3,0,0,'Données projet'!$E$11+1,1))</f>
        <v>343.6089004382095</v>
      </c>
      <c r="BJ67" s="59">
        <f t="shared" si="38"/>
        <v>278.21741231699929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8.6666666666666661</v>
      </c>
      <c r="BY67" s="12">
        <f>IF('Données projet'!$A$114&gt;35,BY66+BX67-CG66,IF(A67&lt;'Données projet'!$A$114,$BV$205^A67,IF(A67='Données projet'!$A$114,'Données projet'!$B$114,BY66+BX67-CG66)))</f>
        <v>284.66666666666663</v>
      </c>
      <c r="BZ67" s="13">
        <f>BY67*VLOOKUP('Données projet'!$B$12,Paramètres!$A$1:$I$89,3,0)*VLOOKUP('Données projet'!$B$12,Paramètres!$A$1:$I$89,5,0)</f>
        <v>222.04</v>
      </c>
      <c r="CA67" s="13">
        <f t="shared" si="39"/>
        <v>54.558031180803546</v>
      </c>
      <c r="CB67" s="20">
        <f t="shared" si="10"/>
        <v>481.74157097323285</v>
      </c>
      <c r="CC67" s="59">
        <f t="shared" si="11"/>
        <v>775.07490430656617</v>
      </c>
      <c r="CD67" s="59">
        <f ca="1">AVERAGE(OFFSET($CC$3,0,0,'Données projet'!$E$12+1,1))-AVERAGE(OFFSET($H$3,0,0,'Données projet'!$E$12+1,1))</f>
        <v>288.82868507674738</v>
      </c>
      <c r="CE67" s="59">
        <f t="shared" si="40"/>
        <v>283.48738729114024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1.2215668381979683</v>
      </c>
      <c r="CM67" s="21">
        <f>EXP(-LN(2)/2)*CM66+(1-EXP(-LN(2)/2))/(LN(2)/2)*CG67*CJ67*VLOOKUP('Données projet'!$B$12,Paramètres!$A$1:$I$89,3,0)*0.475*44/12</f>
        <v>2.4948939791355762E-5</v>
      </c>
      <c r="CN67" s="22">
        <f t="shared" si="12"/>
        <v>1.2215917871377597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10.4</v>
      </c>
      <c r="CT67" s="12">
        <f>IF('Données projet'!$A$140&gt;35,CT66+CS67-DB66,IF(A67&lt;'Données projet'!$A$140,$CQ$205^A67,IF(A67='Données projet'!$A$140,'Données projet'!$B$140,CT66+CS67-DB66)))</f>
        <v>283.59999999999997</v>
      </c>
      <c r="CU67" s="17">
        <f>CT67*VLOOKUP('Données projet'!$B$13,Paramètres!$A$1:$I$89,3,0)*VLOOKUP('Données projet'!$B$13,Paramètres!$A$1:$I$89,5,0)</f>
        <v>243.3288</v>
      </c>
      <c r="CV67" s="13">
        <f t="shared" si="41"/>
        <v>59.155162833418565</v>
      </c>
      <c r="CW67" s="20">
        <f t="shared" si="13"/>
        <v>526.82623526820396</v>
      </c>
      <c r="CX67" s="59">
        <f t="shared" si="14"/>
        <v>820.15956860153733</v>
      </c>
      <c r="CY67" s="59">
        <f ca="1">AVERAGE(OFFSET($CX$3,0,0,'Données projet'!$E$13+1,1))-AVERAGE(OFFSET($H$3,0,0,'Données projet'!$E$13+1,1))</f>
        <v>273.73158910361786</v>
      </c>
      <c r="CZ67" s="59">
        <f t="shared" si="42"/>
        <v>256.77417912163997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-3.4106051316484809E-13</v>
      </c>
      <c r="DP67" s="17">
        <f>DO67*VLOOKUP('Données projet'!$B$14,Paramètres!$A$1:$I$89,3,0)*VLOOKUP('Données projet'!$B$14,Paramètres!$A$1:$I$89,5,0)</f>
        <v>-1.9065282685915009E-13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534.78683721545372</v>
      </c>
      <c r="DU67" s="59">
        <f t="shared" si="44"/>
        <v>710.59298755711075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2.7872666185517669</v>
      </c>
      <c r="EB67" s="21">
        <f>EXP(-LN(2)/25)*EB66+(1-EXP(-LN(2)/25))/(LN(2)/25)*Calculateur!DW67*Calculateur!DY67*VLOOKUP('Données projet'!$B$14,Paramètres!$A$1:$I$89,3,0)*0.475*44/12</f>
        <v>9.4251920345803839</v>
      </c>
      <c r="EC67" s="21">
        <f>EXP(-LN(2)/2)*EC66+(1-EXP(-LN(2)/2))/(LN(2)/2)*DW67*DZ67*VLOOKUP('Données projet'!$B$14,Paramètres!$A$1:$I$89,3,0)*0.475*44/12</f>
        <v>8.9261383450966696E-5</v>
      </c>
      <c r="ED67" s="22">
        <f t="shared" si="18"/>
        <v>12.212547914515602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5.6843418860808015E-14</v>
      </c>
      <c r="EK67" s="17">
        <f>EJ67*VLOOKUP('Données projet'!$B$15,Paramètres!$A$1:$I$89,3,0)*VLOOKUP('Données projet'!$B$15,Paramètres!$A$1:$I$89,5,0)</f>
        <v>4.9658410716801891E-14</v>
      </c>
      <c r="EL67" s="13">
        <f t="shared" si="45"/>
        <v>8.0934058173791862E-13</v>
      </c>
      <c r="EM67" s="20">
        <f t="shared" si="19"/>
        <v>1.4960899118586383E-12</v>
      </c>
      <c r="EN67" s="59">
        <f t="shared" si="20"/>
        <v>293.33333333333479</v>
      </c>
      <c r="EO67" s="59">
        <f ca="1">AVERAGE(OFFSET($EN$3,0,0,'Données projet'!$E$15+1,1))-AVERAGE(OFFSET($H$3,0,0,'Données projet'!$E$15+1,1))</f>
        <v>255.2813753128475</v>
      </c>
      <c r="EP67" s="59">
        <f t="shared" si="46"/>
        <v>317.03005098025352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2.8768088062372446</v>
      </c>
      <c r="EW67" s="21">
        <f>EXP(-LN(2)/25)*EW66+(1-EXP(-LN(2)/25))/(LN(2)/25)*Calculateur!ER67*Calculateur!ET67*VLOOKUP('Données projet'!$B$15,Paramètres!$A$1:$I$89,3,0)*0.475*44/12</f>
        <v>6.8704538756241771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9.7472626818614216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1.7053025658242404E-13</v>
      </c>
      <c r="O68" s="13">
        <f>N68*VLOOKUP('Données projet'!$B$9,Paramètres!$A$1:$I$89,3,0)*VLOOKUP('Données projet'!$B$9,Paramètres!$A$1:$I$89,5,0)</f>
        <v>1.250327841262333E-13</v>
      </c>
      <c r="P68" s="13">
        <f t="shared" si="33"/>
        <v>1.8301318724634299E-12</v>
      </c>
      <c r="Q68" s="20">
        <f t="shared" si="54"/>
        <v>3.405245110226996E-12</v>
      </c>
      <c r="R68" s="59">
        <f t="shared" si="55"/>
        <v>293.33333333333672</v>
      </c>
      <c r="S68" s="59">
        <f ca="1">AVERAGE(OFFSET($R$3,0,0,'Données projet'!$E$9+1,1))-AVERAGE(OFFSET($H$3,0,0,'Données projet'!$E$9+1,1))</f>
        <v>193.60868637458515</v>
      </c>
      <c r="T68" s="59">
        <f t="shared" si="34"/>
        <v>272.97841038165217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-1.3567387213697657E-13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281.79835088425858</v>
      </c>
      <c r="AO68" s="59">
        <f t="shared" si="36"/>
        <v>345.4750813433123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289</v>
      </c>
      <c r="BE68" s="13">
        <f>BD68*VLOOKUP('Données projet'!$B$11,Paramètres!$A$1:$I$89,3,0)*VLOOKUP('Données projet'!$B$11,Paramètres!$A$1:$I$89,5,0)</f>
        <v>261.48719999999997</v>
      </c>
      <c r="BF68" s="13">
        <f t="shared" si="37"/>
        <v>63.039283586802391</v>
      </c>
      <c r="BG68" s="20">
        <f t="shared" ref="BG68:BG131" si="61">(BE68+BF68)*0.475*44/12</f>
        <v>565.21695891368086</v>
      </c>
      <c r="BH68" s="59">
        <f t="shared" ref="BH68:BH131" si="62">BG68+(AY68+AZ68)*44/12</f>
        <v>858.55029224701411</v>
      </c>
      <c r="BI68" s="59">
        <f ca="1">AVERAGE(OFFSET($BH$3,0,0,'Données projet'!$E$11+1,1))-AVERAGE(OFFSET($H$3,0,0,'Données projet'!$E$11+1,1))</f>
        <v>343.6089004382095</v>
      </c>
      <c r="BJ68" s="59">
        <f t="shared" si="38"/>
        <v>278.21741231699929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8.6666666666666661</v>
      </c>
      <c r="BY68" s="12">
        <f>IF('Données projet'!$A$114&gt;35,BY67+BX68-CG67,IF(A68&lt;'Données projet'!$A$114,$BV$205^A68,IF(A68='Données projet'!$A$114,'Données projet'!$B$114,BY67+BX68-CG67)))</f>
        <v>293.33333333333331</v>
      </c>
      <c r="BZ68" s="13">
        <f>BY68*VLOOKUP('Données projet'!$B$12,Paramètres!$A$1:$I$89,3,0)*VLOOKUP('Données projet'!$B$12,Paramètres!$A$1:$I$89,5,0)</f>
        <v>228.79999999999998</v>
      </c>
      <c r="CA68" s="13">
        <f t="shared" si="39"/>
        <v>56.023134533701196</v>
      </c>
      <c r="CB68" s="20">
        <f t="shared" ref="CB68:CB131" si="64">(BZ68+CA68)*0.475*44/12</f>
        <v>496.06695931286293</v>
      </c>
      <c r="CC68" s="59">
        <f t="shared" ref="CC68:CC131" si="65">CB68+(BT68+BU68)*44/12</f>
        <v>789.40029264619625</v>
      </c>
      <c r="CD68" s="59">
        <f ca="1">AVERAGE(OFFSET($CC$3,0,0,'Données projet'!$E$12+1,1))-AVERAGE(OFFSET($H$3,0,0,'Données projet'!$E$12+1,1))</f>
        <v>288.82868507674738</v>
      </c>
      <c r="CE68" s="59">
        <f t="shared" si="40"/>
        <v>283.48738729114024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1.1881630287680367</v>
      </c>
      <c r="CM68" s="21">
        <f>EXP(-LN(2)/2)*CM67+(1-EXP(-LN(2)/2))/(LN(2)/2)*CG68*CJ68*VLOOKUP('Données projet'!$B$12,Paramètres!$A$1:$I$89,3,0)*0.475*44/12</f>
        <v>1.7641564509882547E-5</v>
      </c>
      <c r="CN68" s="22">
        <f t="shared" ref="CN68:CN131" si="66">SUM(CK68:CM68)</f>
        <v>1.1881806703325466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294</v>
      </c>
      <c r="CR68" s="12">
        <f>VLOOKUP(A68,'Données projet'!$A$139:$I$159,9,0)</f>
        <v>10.4</v>
      </c>
      <c r="CS68" s="12">
        <f t="array" ref="CS68">INDEX(CR:CR,MIN(IF(ISNUMBER(CR68:CR264),ROW(CR68:CR264),"")))</f>
        <v>10.4</v>
      </c>
      <c r="CT68" s="12">
        <f>IF('Données projet'!$A$140&gt;35,CT67+CS68-DB67,IF(A68&lt;'Données projet'!$A$140,$CQ$205^A68,IF(A68='Données projet'!$A$140,'Données projet'!$B$140,CT67+CS68-DB67)))</f>
        <v>293.99999999999994</v>
      </c>
      <c r="CU68" s="17">
        <f>CT68*VLOOKUP('Données projet'!$B$13,Paramètres!$A$1:$I$89,3,0)*VLOOKUP('Données projet'!$B$13,Paramètres!$A$1:$I$89,5,0)</f>
        <v>252.25199999999998</v>
      </c>
      <c r="CV68" s="13">
        <f t="shared" si="41"/>
        <v>61.067920784150822</v>
      </c>
      <c r="CW68" s="20">
        <f t="shared" ref="CW68:CW131" si="67">(CU68+CV68)*0.475*44/12</f>
        <v>545.69886203239594</v>
      </c>
      <c r="CX68" s="59">
        <f t="shared" ref="CX68:CX131" si="68">CW68+(CO68+CP68)*44/12</f>
        <v>839.03219536572919</v>
      </c>
      <c r="CY68" s="59">
        <f ca="1">AVERAGE(OFFSET($CX$3,0,0,'Données projet'!$E$13+1,1))-AVERAGE(OFFSET($H$3,0,0,'Données projet'!$E$13+1,1))</f>
        <v>273.73158910361786</v>
      </c>
      <c r="CZ68" s="59">
        <f t="shared" si="42"/>
        <v>256.77417912163997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28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-3.4106051316484809E-13</v>
      </c>
      <c r="DP68" s="17">
        <f>DO68*VLOOKUP('Données projet'!$B$14,Paramètres!$A$1:$I$89,3,0)*VLOOKUP('Données projet'!$B$14,Paramètres!$A$1:$I$89,5,0)</f>
        <v>-1.9065282685915009E-13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534.78683721545372</v>
      </c>
      <c r="DU68" s="59">
        <f t="shared" si="44"/>
        <v>710.59298755711075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2.7326100202267365</v>
      </c>
      <c r="EB68" s="21">
        <f>EXP(-LN(2)/25)*EB67+(1-EXP(-LN(2)/25))/(LN(2)/25)*Calculateur!DW68*Calculateur!DY68*VLOOKUP('Données projet'!$B$14,Paramètres!$A$1:$I$89,3,0)*0.475*44/12</f>
        <v>9.1674596627454754</v>
      </c>
      <c r="EC68" s="21">
        <f>EXP(-LN(2)/2)*EC67+(1-EXP(-LN(2)/2))/(LN(2)/2)*DW68*DZ68*VLOOKUP('Données projet'!$B$14,Paramètres!$A$1:$I$89,3,0)*0.475*44/12</f>
        <v>6.3117329536271222E-5</v>
      </c>
      <c r="ED68" s="22">
        <f t="shared" ref="ED68:ED131" si="72">SUM(EA68:EC68)</f>
        <v>11.900132800301749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5.6843418860808015E-14</v>
      </c>
      <c r="EK68" s="17">
        <f>EJ68*VLOOKUP('Données projet'!$B$15,Paramètres!$A$1:$I$89,3,0)*VLOOKUP('Données projet'!$B$15,Paramètres!$A$1:$I$89,5,0)</f>
        <v>4.9658410716801891E-14</v>
      </c>
      <c r="EL68" s="13">
        <f t="shared" si="45"/>
        <v>8.0934058173791862E-13</v>
      </c>
      <c r="EM68" s="20">
        <f t="shared" ref="EM68:EM131" si="73">(EK68+EL68)*0.475*44/12</f>
        <v>1.4960899118586383E-12</v>
      </c>
      <c r="EN68" s="59">
        <f t="shared" ref="EN68:EN131" si="74">EM68+(EE68+EF68)*44/12</f>
        <v>293.33333333333479</v>
      </c>
      <c r="EO68" s="59">
        <f ca="1">AVERAGE(OFFSET($EN$3,0,0,'Données projet'!$E$15+1,1))-AVERAGE(OFFSET($H$3,0,0,'Données projet'!$E$15+1,1))</f>
        <v>255.2813753128475</v>
      </c>
      <c r="EP68" s="59">
        <f t="shared" si="46"/>
        <v>317.03005098025352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2.8203963402270436</v>
      </c>
      <c r="EW68" s="21">
        <f>EXP(-LN(2)/25)*EW67+(1-EXP(-LN(2)/25))/(LN(2)/25)*Calculateur!ER68*Calculateur!ET68*VLOOKUP('Données projet'!$B$15,Paramètres!$A$1:$I$89,3,0)*0.475*44/12</f>
        <v>6.6825809530937672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9.5029772933208108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1.7053025658242404E-13</v>
      </c>
      <c r="O69" s="13">
        <f>N69*VLOOKUP('Données projet'!$B$9,Paramètres!$A$1:$I$89,3,0)*VLOOKUP('Données projet'!$B$9,Paramètres!$A$1:$I$89,5,0)</f>
        <v>1.250327841262333E-13</v>
      </c>
      <c r="P69" s="13">
        <f t="shared" ref="P69:P132" si="87">EXP(-1.0587+0.8836*LN(O69)+0.284)</f>
        <v>1.8301318724634299E-12</v>
      </c>
      <c r="Q69" s="20">
        <f t="shared" si="54"/>
        <v>3.405245110226996E-12</v>
      </c>
      <c r="R69" s="59">
        <f t="shared" si="55"/>
        <v>293.33333333333672</v>
      </c>
      <c r="S69" s="59">
        <f ca="1">AVERAGE(OFFSET($R$3,0,0,'Données projet'!$E$9+1,1))-AVERAGE(OFFSET($H$3,0,0,'Données projet'!$E$9+1,1))</f>
        <v>193.60868637458515</v>
      </c>
      <c r="T69" s="59">
        <f t="shared" ref="T69:T132" si="88">$T$3</f>
        <v>272.97841038165217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-1.3567387213697657E-13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281.79835088425858</v>
      </c>
      <c r="AO69" s="59">
        <f t="shared" ref="AO69:AO132" si="90">$AO$3</f>
        <v>345.4750813433123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269.2</v>
      </c>
      <c r="BE69" s="13">
        <f>BD69*VLOOKUP('Données projet'!$B$11,Paramètres!$A$1:$I$89,3,0)*VLOOKUP('Données projet'!$B$11,Paramètres!$A$1:$I$89,5,0)</f>
        <v>243.57216</v>
      </c>
      <c r="BF69" s="13">
        <f t="shared" ref="BF69:BF132" si="91">EXP(-1.0587+0.8836*LN(BE69)+0.284)</f>
        <v>59.207435995642292</v>
      </c>
      <c r="BG69" s="20">
        <f t="shared" si="61"/>
        <v>527.34112969241028</v>
      </c>
      <c r="BH69" s="59">
        <f t="shared" si="62"/>
        <v>820.67446302574353</v>
      </c>
      <c r="BI69" s="59">
        <f ca="1">AVERAGE(OFFSET($BH$3,0,0,'Données projet'!$E$11+1,1))-AVERAGE(OFFSET($H$3,0,0,'Données projet'!$E$11+1,1))</f>
        <v>343.6089004382095</v>
      </c>
      <c r="BJ69" s="59">
        <f t="shared" ref="BJ69:BJ132" si="92">$BJ$3</f>
        <v>278.21741231699929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8.6666666666666661</v>
      </c>
      <c r="BY69" s="12">
        <f>IF('Données projet'!$A$114&gt;35,BY68+BX69-CG68,IF(A69&lt;'Données projet'!$A$114,$BV$205^A69,IF(A69='Données projet'!$A$114,'Données projet'!$B$114,BY68+BX69-CG68)))</f>
        <v>302</v>
      </c>
      <c r="BZ69" s="13">
        <f>BY69*VLOOKUP('Données projet'!$B$12,Paramètres!$A$1:$I$89,3,0)*VLOOKUP('Données projet'!$B$12,Paramètres!$A$1:$I$89,5,0)</f>
        <v>235.56</v>
      </c>
      <c r="CA69" s="13">
        <f t="shared" ref="CA69:CA132" si="93">EXP(-1.0587+0.8836*LN(BZ69)+0.284)</f>
        <v>57.483207143847721</v>
      </c>
      <c r="CB69" s="20">
        <f t="shared" si="64"/>
        <v>510.38358577553481</v>
      </c>
      <c r="CC69" s="59">
        <f t="shared" si="65"/>
        <v>803.71691910886807</v>
      </c>
      <c r="CD69" s="59">
        <f ca="1">AVERAGE(OFFSET($CC$3,0,0,'Données projet'!$E$12+1,1))-AVERAGE(OFFSET($H$3,0,0,'Données projet'!$E$12+1,1))</f>
        <v>288.82868507674738</v>
      </c>
      <c r="CE69" s="59">
        <f t="shared" ref="CE69:CE132" si="94">$CE$3</f>
        <v>283.48738729114024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1.1556726482635966</v>
      </c>
      <c r="CM69" s="21">
        <f>EXP(-LN(2)/2)*CM68+(1-EXP(-LN(2)/2))/(LN(2)/2)*CG69*CJ69*VLOOKUP('Données projet'!$B$12,Paramètres!$A$1:$I$89,3,0)*0.475*44/12</f>
        <v>1.2474469895677881E-5</v>
      </c>
      <c r="CN69" s="22">
        <f t="shared" si="66"/>
        <v>1.1556851227334923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10</v>
      </c>
      <c r="CT69" s="12">
        <f>IF('Données projet'!$A$140&gt;35,CT68+CS69-DB68,IF(A69&lt;'Données projet'!$A$140,$CQ$205^A69,IF(A69='Données projet'!$A$140,'Données projet'!$B$140,CT68+CS69-DB68)))</f>
        <v>275.99999999999994</v>
      </c>
      <c r="CU69" s="17">
        <f>CT69*VLOOKUP('Données projet'!$B$13,Paramètres!$A$1:$I$89,3,0)*VLOOKUP('Données projet'!$B$13,Paramètres!$A$1:$I$89,5,0)</f>
        <v>236.80799999999999</v>
      </c>
      <c r="CV69" s="13">
        <f t="shared" ref="CV69:CV132" si="95">EXP(-1.0587+0.8836*LN(CU69)+0.284)</f>
        <v>57.752221878398714</v>
      </c>
      <c r="CW69" s="20">
        <f t="shared" si="67"/>
        <v>513.02571977154435</v>
      </c>
      <c r="CX69" s="59">
        <f t="shared" si="68"/>
        <v>806.3590531048776</v>
      </c>
      <c r="CY69" s="59">
        <f ca="1">AVERAGE(OFFSET($CX$3,0,0,'Données projet'!$E$13+1,1))-AVERAGE(OFFSET($H$3,0,0,'Données projet'!$E$13+1,1))</f>
        <v>273.73158910361786</v>
      </c>
      <c r="CZ69" s="59">
        <f t="shared" ref="CZ69:CZ132" si="96">$CZ$3</f>
        <v>256.77417912163997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-3.4106051316484809E-13</v>
      </c>
      <c r="DP69" s="17">
        <f>DO69*VLOOKUP('Données projet'!$B$14,Paramètres!$A$1:$I$89,3,0)*VLOOKUP('Données projet'!$B$14,Paramètres!$A$1:$I$89,5,0)</f>
        <v>-1.9065282685915009E-13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534.78683721545372</v>
      </c>
      <c r="DU69" s="59">
        <f t="shared" ref="DU69:DU132" si="98">$DU$3</f>
        <v>710.59298755711075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2.679025204457627</v>
      </c>
      <c r="EB69" s="21">
        <f>EXP(-LN(2)/25)*EB68+(1-EXP(-LN(2)/25))/(LN(2)/25)*Calculateur!DW69*Calculateur!DY69*VLOOKUP('Données projet'!$B$14,Paramètres!$A$1:$I$89,3,0)*0.475*44/12</f>
        <v>8.9167749961719487</v>
      </c>
      <c r="EC69" s="21">
        <f>EXP(-LN(2)/2)*EC68+(1-EXP(-LN(2)/2))/(LN(2)/2)*DW69*DZ69*VLOOKUP('Données projet'!$B$14,Paramètres!$A$1:$I$89,3,0)*0.475*44/12</f>
        <v>4.4630691725483348E-5</v>
      </c>
      <c r="ED69" s="22">
        <f t="shared" si="72"/>
        <v>11.595844831321301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5.6843418860808015E-14</v>
      </c>
      <c r="EK69" s="17">
        <f>EJ69*VLOOKUP('Données projet'!$B$15,Paramètres!$A$1:$I$89,3,0)*VLOOKUP('Données projet'!$B$15,Paramètres!$A$1:$I$89,5,0)</f>
        <v>4.9658410716801891E-14</v>
      </c>
      <c r="EL69" s="13">
        <f t="shared" ref="EL69:EL132" si="99">EXP(-1.0587+0.8836*LN(EK69)+0.284)</f>
        <v>8.0934058173791862E-13</v>
      </c>
      <c r="EM69" s="20">
        <f t="shared" si="73"/>
        <v>1.4960899118586383E-12</v>
      </c>
      <c r="EN69" s="59">
        <f t="shared" si="74"/>
        <v>293.33333333333479</v>
      </c>
      <c r="EO69" s="59">
        <f ca="1">AVERAGE(OFFSET($EN$3,0,0,'Données projet'!$E$15+1,1))-AVERAGE(OFFSET($H$3,0,0,'Données projet'!$E$15+1,1))</f>
        <v>255.2813753128475</v>
      </c>
      <c r="EP69" s="59">
        <f t="shared" ref="EP69:EP132" si="100">$EP$3</f>
        <v>317.03005098025352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2.7650900882670961</v>
      </c>
      <c r="EW69" s="21">
        <f>EXP(-LN(2)/25)*EW68+(1-EXP(-LN(2)/25))/(LN(2)/25)*Calculateur!ER69*Calculateur!ET69*VLOOKUP('Données projet'!$B$15,Paramètres!$A$1:$I$89,3,0)*0.475*44/12</f>
        <v>6.4998454255097586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9.2649355137768552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1.7053025658242404E-13</v>
      </c>
      <c r="O70" s="13">
        <f>N70*VLOOKUP('Données projet'!$B$9,Paramètres!$A$1:$I$89,3,0)*VLOOKUP('Données projet'!$B$9,Paramètres!$A$1:$I$89,5,0)</f>
        <v>1.250327841262333E-13</v>
      </c>
      <c r="P70" s="13">
        <f t="shared" si="87"/>
        <v>1.8301318724634299E-12</v>
      </c>
      <c r="Q70" s="20">
        <f t="shared" si="54"/>
        <v>3.405245110226996E-12</v>
      </c>
      <c r="R70" s="59">
        <f t="shared" si="55"/>
        <v>293.33333333333672</v>
      </c>
      <c r="S70" s="59">
        <f ca="1">AVERAGE(OFFSET($R$3,0,0,'Données projet'!$E$9+1,1))-AVERAGE(OFFSET($H$3,0,0,'Données projet'!$E$9+1,1))</f>
        <v>193.60868637458515</v>
      </c>
      <c r="T70" s="59">
        <f t="shared" si="88"/>
        <v>272.97841038165217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-1.3567387213697657E-13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281.79835088425858</v>
      </c>
      <c r="AO70" s="59">
        <f t="shared" si="90"/>
        <v>345.4750813433123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277.39999999999998</v>
      </c>
      <c r="BE70" s="13">
        <f>BD70*VLOOKUP('Données projet'!$B$11,Paramètres!$A$1:$I$89,3,0)*VLOOKUP('Données projet'!$B$11,Paramètres!$A$1:$I$89,5,0)</f>
        <v>250.99151999999995</v>
      </c>
      <c r="BF70" s="13">
        <f t="shared" si="91"/>
        <v>60.798211000769406</v>
      </c>
      <c r="BG70" s="20">
        <f t="shared" si="61"/>
        <v>543.03378149300659</v>
      </c>
      <c r="BH70" s="59">
        <f t="shared" si="62"/>
        <v>836.36711482633996</v>
      </c>
      <c r="BI70" s="59">
        <f ca="1">AVERAGE(OFFSET($BH$3,0,0,'Données projet'!$E$11+1,1))-AVERAGE(OFFSET($H$3,0,0,'Données projet'!$E$11+1,1))</f>
        <v>343.6089004382095</v>
      </c>
      <c r="BJ70" s="59">
        <f t="shared" si="92"/>
        <v>278.21741231699929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8.6666666666666661</v>
      </c>
      <c r="BY70" s="12">
        <f>IF('Données projet'!$A$114&gt;35,BY69+BX70-CG69,IF(A70&lt;'Données projet'!$A$114,$BV$205^A70,IF(A70='Données projet'!$A$114,'Données projet'!$B$114,BY69+BX70-CG69)))</f>
        <v>310.66666666666669</v>
      </c>
      <c r="BZ70" s="13">
        <f>BY70*VLOOKUP('Données projet'!$B$12,Paramètres!$A$1:$I$89,3,0)*VLOOKUP('Données projet'!$B$12,Paramètres!$A$1:$I$89,5,0)</f>
        <v>242.32000000000002</v>
      </c>
      <c r="CA70" s="13">
        <f t="shared" si="93"/>
        <v>58.938409961900859</v>
      </c>
      <c r="CB70" s="20">
        <f t="shared" si="64"/>
        <v>524.69173068364398</v>
      </c>
      <c r="CC70" s="59">
        <f t="shared" si="65"/>
        <v>818.02506401697724</v>
      </c>
      <c r="CD70" s="59">
        <f ca="1">AVERAGE(OFFSET($CC$3,0,0,'Données projet'!$E$12+1,1))-AVERAGE(OFFSET($H$3,0,0,'Données projet'!$E$12+1,1))</f>
        <v>288.82868507674738</v>
      </c>
      <c r="CE70" s="59">
        <f t="shared" si="94"/>
        <v>283.48738729114024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1.1240707189226453</v>
      </c>
      <c r="CM70" s="21">
        <f>EXP(-LN(2)/2)*CM69+(1-EXP(-LN(2)/2))/(LN(2)/2)*CG70*CJ70*VLOOKUP('Données projet'!$B$12,Paramètres!$A$1:$I$89,3,0)*0.475*44/12</f>
        <v>8.8207822549412735E-6</v>
      </c>
      <c r="CN70" s="22">
        <f t="shared" si="66"/>
        <v>1.1240795397049002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10</v>
      </c>
      <c r="CT70" s="12">
        <f>IF('Données projet'!$A$140&gt;35,CT69+CS70-DB69,IF(A70&lt;'Données projet'!$A$140,$CQ$205^A70,IF(A70='Données projet'!$A$140,'Données projet'!$B$140,CT69+CS70-DB69)))</f>
        <v>285.99999999999994</v>
      </c>
      <c r="CU70" s="17">
        <f>CT70*VLOOKUP('Données projet'!$B$13,Paramètres!$A$1:$I$89,3,0)*VLOOKUP('Données projet'!$B$13,Paramètres!$A$1:$I$89,5,0)</f>
        <v>245.38799999999998</v>
      </c>
      <c r="CV70" s="13">
        <f t="shared" si="95"/>
        <v>59.597282764919569</v>
      </c>
      <c r="CW70" s="20">
        <f t="shared" si="67"/>
        <v>531.18270081556818</v>
      </c>
      <c r="CX70" s="59">
        <f t="shared" si="68"/>
        <v>824.51603414890155</v>
      </c>
      <c r="CY70" s="59">
        <f ca="1">AVERAGE(OFFSET($CX$3,0,0,'Données projet'!$E$13+1,1))-AVERAGE(OFFSET($H$3,0,0,'Données projet'!$E$13+1,1))</f>
        <v>273.73158910361786</v>
      </c>
      <c r="CZ70" s="59">
        <f t="shared" si="96"/>
        <v>256.77417912163997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-3.4106051316484809E-13</v>
      </c>
      <c r="DP70" s="17">
        <f>DO70*VLOOKUP('Données projet'!$B$14,Paramètres!$A$1:$I$89,3,0)*VLOOKUP('Données projet'!$B$14,Paramètres!$A$1:$I$89,5,0)</f>
        <v>-1.9065282685915009E-13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534.78683721545372</v>
      </c>
      <c r="DU70" s="59">
        <f t="shared" si="98"/>
        <v>710.59298755711075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2.6264911542422391</v>
      </c>
      <c r="EB70" s="21">
        <f>EXP(-LN(2)/25)*EB69+(1-EXP(-LN(2)/25))/(LN(2)/25)*Calculateur!DW70*Calculateur!DY70*VLOOKUP('Données projet'!$B$14,Paramètres!$A$1:$I$89,3,0)*0.475*44/12</f>
        <v>8.6729453149888087</v>
      </c>
      <c r="EC70" s="21">
        <f>EXP(-LN(2)/2)*EC69+(1-EXP(-LN(2)/2))/(LN(2)/2)*DW70*DZ70*VLOOKUP('Données projet'!$B$14,Paramètres!$A$1:$I$89,3,0)*0.475*44/12</f>
        <v>3.1558664768135611E-5</v>
      </c>
      <c r="ED70" s="22">
        <f t="shared" si="72"/>
        <v>11.299468027895815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5.6843418860808015E-14</v>
      </c>
      <c r="EK70" s="17">
        <f>EJ70*VLOOKUP('Données projet'!$B$15,Paramètres!$A$1:$I$89,3,0)*VLOOKUP('Données projet'!$B$15,Paramètres!$A$1:$I$89,5,0)</f>
        <v>4.9658410716801891E-14</v>
      </c>
      <c r="EL70" s="13">
        <f t="shared" si="99"/>
        <v>8.0934058173791862E-13</v>
      </c>
      <c r="EM70" s="20">
        <f t="shared" si="73"/>
        <v>1.4960899118586383E-12</v>
      </c>
      <c r="EN70" s="59">
        <f t="shared" si="74"/>
        <v>293.33333333333479</v>
      </c>
      <c r="EO70" s="59">
        <f ca="1">AVERAGE(OFFSET($EN$3,0,0,'Données projet'!$E$15+1,1))-AVERAGE(OFFSET($H$3,0,0,'Données projet'!$E$15+1,1))</f>
        <v>255.2813753128475</v>
      </c>
      <c r="EP70" s="59">
        <f t="shared" si="100"/>
        <v>317.03005098025352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2.7108683581746003</v>
      </c>
      <c r="EW70" s="21">
        <f>EXP(-LN(2)/25)*EW69+(1-EXP(-LN(2)/25))/(LN(2)/25)*Calculateur!ER70*Calculateur!ET70*VLOOKUP('Données projet'!$B$15,Paramètres!$A$1:$I$89,3,0)*0.475*44/12</f>
        <v>6.3221068105371794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9.0329751687117792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1.7053025658242404E-13</v>
      </c>
      <c r="O71" s="13">
        <f>N71*VLOOKUP('Données projet'!$B$9,Paramètres!$A$1:$I$89,3,0)*VLOOKUP('Données projet'!$B$9,Paramètres!$A$1:$I$89,5,0)</f>
        <v>1.250327841262333E-13</v>
      </c>
      <c r="P71" s="13">
        <f t="shared" si="87"/>
        <v>1.8301318724634299E-12</v>
      </c>
      <c r="Q71" s="20">
        <f t="shared" si="54"/>
        <v>3.405245110226996E-12</v>
      </c>
      <c r="R71" s="59">
        <f t="shared" si="55"/>
        <v>293.33333333333672</v>
      </c>
      <c r="S71" s="59">
        <f ca="1">AVERAGE(OFFSET($R$3,0,0,'Données projet'!$E$9+1,1))-AVERAGE(OFFSET($H$3,0,0,'Données projet'!$E$9+1,1))</f>
        <v>193.60868637458515</v>
      </c>
      <c r="T71" s="59">
        <f t="shared" si="88"/>
        <v>272.97841038165217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-1.3567387213697657E-13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281.79835088425858</v>
      </c>
      <c r="AO71" s="59">
        <f t="shared" si="90"/>
        <v>345.4750813433123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285.59999999999997</v>
      </c>
      <c r="BE71" s="13">
        <f>BD71*VLOOKUP('Données projet'!$B$11,Paramètres!$A$1:$I$89,3,0)*VLOOKUP('Données projet'!$B$11,Paramètres!$A$1:$I$89,5,0)</f>
        <v>258.41087999999996</v>
      </c>
      <c r="BF71" s="13">
        <f t="shared" si="91"/>
        <v>62.383521020316756</v>
      </c>
      <c r="BG71" s="20">
        <f t="shared" si="61"/>
        <v>558.71691511038489</v>
      </c>
      <c r="BH71" s="59">
        <f t="shared" si="62"/>
        <v>852.05024844371815</v>
      </c>
      <c r="BI71" s="59">
        <f ca="1">AVERAGE(OFFSET($BH$3,0,0,'Données projet'!$E$11+1,1))-AVERAGE(OFFSET($H$3,0,0,'Données projet'!$E$11+1,1))</f>
        <v>343.6089004382095</v>
      </c>
      <c r="BJ71" s="59">
        <f t="shared" si="92"/>
        <v>278.21741231699929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8.6666666666666661</v>
      </c>
      <c r="BY71" s="12">
        <f>IF('Données projet'!$A$114&gt;35,BY70+BX71-CG70,IF(A71&lt;'Données projet'!$A$114,$BV$205^A71,IF(A71='Données projet'!$A$114,'Données projet'!$B$114,BY70+BX71-CG70)))</f>
        <v>319.33333333333337</v>
      </c>
      <c r="BZ71" s="13">
        <f>BY71*VLOOKUP('Données projet'!$B$12,Paramètres!$A$1:$I$89,3,0)*VLOOKUP('Données projet'!$B$12,Paramètres!$A$1:$I$89,5,0)</f>
        <v>249.08000000000004</v>
      </c>
      <c r="CA71" s="13">
        <f t="shared" si="93"/>
        <v>60.388894447487807</v>
      </c>
      <c r="CB71" s="20">
        <f t="shared" si="64"/>
        <v>538.99165782937473</v>
      </c>
      <c r="CC71" s="59">
        <f t="shared" si="65"/>
        <v>832.3249911627081</v>
      </c>
      <c r="CD71" s="59">
        <f ca="1">AVERAGE(OFFSET($CC$3,0,0,'Données projet'!$E$12+1,1))-AVERAGE(OFFSET($H$3,0,0,'Données projet'!$E$12+1,1))</f>
        <v>288.82868507674738</v>
      </c>
      <c r="CE71" s="59">
        <f t="shared" si="94"/>
        <v>283.48738729114024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1.0933329460013956</v>
      </c>
      <c r="CM71" s="21">
        <f>EXP(-LN(2)/2)*CM70+(1-EXP(-LN(2)/2))/(LN(2)/2)*CG71*CJ71*VLOOKUP('Données projet'!$B$12,Paramètres!$A$1:$I$89,3,0)*0.475*44/12</f>
        <v>6.2372349478389404E-6</v>
      </c>
      <c r="CN71" s="22">
        <f t="shared" si="66"/>
        <v>1.0933391832363435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10</v>
      </c>
      <c r="CT71" s="12">
        <f>IF('Données projet'!$A$140&gt;35,CT70+CS71-DB70,IF(A71&lt;'Données projet'!$A$140,$CQ$205^A71,IF(A71='Données projet'!$A$140,'Données projet'!$B$140,CT70+CS71-DB70)))</f>
        <v>295.99999999999994</v>
      </c>
      <c r="CU71" s="17">
        <f>CT71*VLOOKUP('Données projet'!$B$13,Paramètres!$A$1:$I$89,3,0)*VLOOKUP('Données projet'!$B$13,Paramètres!$A$1:$I$89,5,0)</f>
        <v>253.96799999999999</v>
      </c>
      <c r="CV71" s="13">
        <f t="shared" si="95"/>
        <v>61.434848029666512</v>
      </c>
      <c r="CW71" s="20">
        <f t="shared" si="67"/>
        <v>549.32662698500246</v>
      </c>
      <c r="CX71" s="59">
        <f t="shared" si="68"/>
        <v>842.65996031833583</v>
      </c>
      <c r="CY71" s="59">
        <f ca="1">AVERAGE(OFFSET($CX$3,0,0,'Données projet'!$E$13+1,1))-AVERAGE(OFFSET($H$3,0,0,'Données projet'!$E$13+1,1))</f>
        <v>273.73158910361786</v>
      </c>
      <c r="CZ71" s="59">
        <f t="shared" si="96"/>
        <v>256.77417912163997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-3.4106051316484809E-13</v>
      </c>
      <c r="DP71" s="17">
        <f>DO71*VLOOKUP('Données projet'!$B$14,Paramètres!$A$1:$I$89,3,0)*VLOOKUP('Données projet'!$B$14,Paramètres!$A$1:$I$89,5,0)</f>
        <v>-1.9065282685915009E-13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534.78683721545372</v>
      </c>
      <c r="DU71" s="59">
        <f t="shared" si="98"/>
        <v>710.59298755711075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2.5749872647089682</v>
      </c>
      <c r="EB71" s="21">
        <f>EXP(-LN(2)/25)*EB70+(1-EXP(-LN(2)/25))/(LN(2)/25)*Calculateur!DW71*Calculateur!DY71*VLOOKUP('Données projet'!$B$14,Paramètres!$A$1:$I$89,3,0)*0.475*44/12</f>
        <v>8.435783169260068</v>
      </c>
      <c r="EC71" s="21">
        <f>EXP(-LN(2)/2)*EC70+(1-EXP(-LN(2)/2))/(LN(2)/2)*DW71*DZ71*VLOOKUP('Données projet'!$B$14,Paramètres!$A$1:$I$89,3,0)*0.475*44/12</f>
        <v>2.2315345862741674E-5</v>
      </c>
      <c r="ED71" s="22">
        <f t="shared" si="72"/>
        <v>11.010792749314898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5.6843418860808015E-14</v>
      </c>
      <c r="EK71" s="17">
        <f>EJ71*VLOOKUP('Données projet'!$B$15,Paramètres!$A$1:$I$89,3,0)*VLOOKUP('Données projet'!$B$15,Paramètres!$A$1:$I$89,5,0)</f>
        <v>4.9658410716801891E-14</v>
      </c>
      <c r="EL71" s="13">
        <f t="shared" si="99"/>
        <v>8.0934058173791862E-13</v>
      </c>
      <c r="EM71" s="20">
        <f t="shared" si="73"/>
        <v>1.4960899118586383E-12</v>
      </c>
      <c r="EN71" s="59">
        <f t="shared" si="74"/>
        <v>293.33333333333479</v>
      </c>
      <c r="EO71" s="59">
        <f ca="1">AVERAGE(OFFSET($EN$3,0,0,'Données projet'!$E$15+1,1))-AVERAGE(OFFSET($H$3,0,0,'Données projet'!$E$15+1,1))</f>
        <v>255.2813753128475</v>
      </c>
      <c r="EP71" s="59">
        <f t="shared" si="100"/>
        <v>317.03005098025352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2.6577098831372288</v>
      </c>
      <c r="EW71" s="21">
        <f>EXP(-LN(2)/25)*EW70+(1-EXP(-LN(2)/25))/(LN(2)/25)*Calculateur!ER71*Calculateur!ET71*VLOOKUP('Données projet'!$B$15,Paramètres!$A$1:$I$89,3,0)*0.475*44/12</f>
        <v>6.1492284673378927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8.8069383504751215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1.7053025658242404E-13</v>
      </c>
      <c r="O72" s="13">
        <f>N72*VLOOKUP('Données projet'!$B$9,Paramètres!$A$1:$I$89,3,0)*VLOOKUP('Données projet'!$B$9,Paramètres!$A$1:$I$89,5,0)</f>
        <v>1.250327841262333E-13</v>
      </c>
      <c r="P72" s="13">
        <f t="shared" si="87"/>
        <v>1.8301318724634299E-12</v>
      </c>
      <c r="Q72" s="20">
        <f t="shared" si="54"/>
        <v>3.405245110226996E-12</v>
      </c>
      <c r="R72" s="59">
        <f t="shared" si="55"/>
        <v>293.33333333333672</v>
      </c>
      <c r="S72" s="59">
        <f ca="1">AVERAGE(OFFSET($R$3,0,0,'Données projet'!$E$9+1,1))-AVERAGE(OFFSET($H$3,0,0,'Données projet'!$E$9+1,1))</f>
        <v>193.60868637458515</v>
      </c>
      <c r="T72" s="59">
        <f t="shared" si="88"/>
        <v>272.97841038165217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-1.3567387213697657E-13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281.79835088425858</v>
      </c>
      <c r="AO72" s="59">
        <f t="shared" si="90"/>
        <v>345.4750813433123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293.79999999999995</v>
      </c>
      <c r="BE72" s="13">
        <f>BD72*VLOOKUP('Données projet'!$B$11,Paramètres!$A$1:$I$89,3,0)*VLOOKUP('Données projet'!$B$11,Paramètres!$A$1:$I$89,5,0)</f>
        <v>265.83023999999995</v>
      </c>
      <c r="BF72" s="13">
        <f t="shared" si="91"/>
        <v>63.963540982526439</v>
      </c>
      <c r="BG72" s="20">
        <f t="shared" si="61"/>
        <v>574.39083521123348</v>
      </c>
      <c r="BH72" s="59">
        <f t="shared" si="62"/>
        <v>867.72416854456674</v>
      </c>
      <c r="BI72" s="59">
        <f ca="1">AVERAGE(OFFSET($BH$3,0,0,'Données projet'!$E$11+1,1))-AVERAGE(OFFSET($H$3,0,0,'Données projet'!$E$11+1,1))</f>
        <v>343.6089004382095</v>
      </c>
      <c r="BJ72" s="59">
        <f t="shared" si="92"/>
        <v>278.21741231699929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328</v>
      </c>
      <c r="BW72" s="12">
        <f>VLOOKUP(A72,'Données projet'!$A$113:$I$133,9,0)</f>
        <v>8.6666666666666661</v>
      </c>
      <c r="BX72" s="12">
        <f t="array" ref="BX72">INDEX(BW:BW,MIN(IF(ISNUMBER(BW72:BW268),ROW(BW72:BW268),"")))</f>
        <v>8.6666666666666661</v>
      </c>
      <c r="BY72" s="12">
        <f>IF('Données projet'!$A$114&gt;35,BY71+BX72-CG71,IF(A72&lt;'Données projet'!$A$114,$BV$205^A72,IF(A72='Données projet'!$A$114,'Données projet'!$B$114,BY71+BX72-CG71)))</f>
        <v>328.00000000000006</v>
      </c>
      <c r="BZ72" s="13">
        <f>BY72*VLOOKUP('Données projet'!$B$12,Paramètres!$A$1:$I$89,3,0)*VLOOKUP('Données projet'!$B$12,Paramètres!$A$1:$I$89,5,0)</f>
        <v>255.84000000000006</v>
      </c>
      <c r="CA72" s="13">
        <f t="shared" si="93"/>
        <v>61.834803371075836</v>
      </c>
      <c r="CB72" s="20">
        <f t="shared" si="64"/>
        <v>553.28361587129041</v>
      </c>
      <c r="CC72" s="59">
        <f t="shared" si="65"/>
        <v>846.61694920462378</v>
      </c>
      <c r="CD72" s="59">
        <f ca="1">AVERAGE(OFFSET($CC$3,0,0,'Données projet'!$E$12+1,1))-AVERAGE(OFFSET($H$3,0,0,'Données projet'!$E$12+1,1))</f>
        <v>288.82868507674738</v>
      </c>
      <c r="CE72" s="59">
        <f t="shared" si="94"/>
        <v>283.48738729114024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328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1.0634356990971068</v>
      </c>
      <c r="CM72" s="21">
        <f>EXP(-LN(2)/2)*CM71+(1-EXP(-LN(2)/2))/(LN(2)/2)*CG72*CJ72*VLOOKUP('Données projet'!$B$12,Paramètres!$A$1:$I$89,3,0)*0.475*44/12</f>
        <v>4.4103911274706368E-6</v>
      </c>
      <c r="CN72" s="22">
        <f t="shared" si="66"/>
        <v>1.0634401094882342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10</v>
      </c>
      <c r="CT72" s="12">
        <f>IF('Données projet'!$A$140&gt;35,CT71+CS72-DB71,IF(A72&lt;'Données projet'!$A$140,$CQ$205^A72,IF(A72='Données projet'!$A$140,'Données projet'!$B$140,CT71+CS72-DB71)))</f>
        <v>305.99999999999994</v>
      </c>
      <c r="CU72" s="17">
        <f>CT72*VLOOKUP('Données projet'!$B$13,Paramètres!$A$1:$I$89,3,0)*VLOOKUP('Données projet'!$B$13,Paramètres!$A$1:$I$89,5,0)</f>
        <v>262.548</v>
      </c>
      <c r="CV72" s="13">
        <f t="shared" si="95"/>
        <v>63.265199933079444</v>
      </c>
      <c r="CW72" s="20">
        <f t="shared" si="67"/>
        <v>567.45798988344666</v>
      </c>
      <c r="CX72" s="59">
        <f t="shared" si="68"/>
        <v>860.79132321678003</v>
      </c>
      <c r="CY72" s="59">
        <f ca="1">AVERAGE(OFFSET($CX$3,0,0,'Données projet'!$E$13+1,1))-AVERAGE(OFFSET($H$3,0,0,'Données projet'!$E$13+1,1))</f>
        <v>273.73158910361786</v>
      </c>
      <c r="CZ72" s="59">
        <f t="shared" si="96"/>
        <v>256.77417912163997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-3.4106051316484809E-13</v>
      </c>
      <c r="DP72" s="17">
        <f>DO72*VLOOKUP('Données projet'!$B$14,Paramètres!$A$1:$I$89,3,0)*VLOOKUP('Données projet'!$B$14,Paramètres!$A$1:$I$89,5,0)</f>
        <v>-1.9065282685915009E-13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534.78683721545372</v>
      </c>
      <c r="DU72" s="59">
        <f t="shared" si="98"/>
        <v>710.59298755711075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2.5244933350351744</v>
      </c>
      <c r="EB72" s="21">
        <f>EXP(-LN(2)/25)*EB71+(1-EXP(-LN(2)/25))/(LN(2)/25)*Calculateur!DW72*Calculateur!DY72*VLOOKUP('Données projet'!$B$14,Paramètres!$A$1:$I$89,3,0)*0.475*44/12</f>
        <v>8.2051062348780945</v>
      </c>
      <c r="EC72" s="21">
        <f>EXP(-LN(2)/2)*EC71+(1-EXP(-LN(2)/2))/(LN(2)/2)*DW72*DZ72*VLOOKUP('Données projet'!$B$14,Paramètres!$A$1:$I$89,3,0)*0.475*44/12</f>
        <v>1.5779332384067805E-5</v>
      </c>
      <c r="ED72" s="22">
        <f t="shared" si="72"/>
        <v>10.729615349245654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5.6843418860808015E-14</v>
      </c>
      <c r="EK72" s="17">
        <f>EJ72*VLOOKUP('Données projet'!$B$15,Paramètres!$A$1:$I$89,3,0)*VLOOKUP('Données projet'!$B$15,Paramètres!$A$1:$I$89,5,0)</f>
        <v>4.9658410716801891E-14</v>
      </c>
      <c r="EL72" s="13">
        <f t="shared" si="99"/>
        <v>8.0934058173791862E-13</v>
      </c>
      <c r="EM72" s="20">
        <f t="shared" si="73"/>
        <v>1.4960899118586383E-12</v>
      </c>
      <c r="EN72" s="59">
        <f t="shared" si="74"/>
        <v>293.33333333333479</v>
      </c>
      <c r="EO72" s="59">
        <f ca="1">AVERAGE(OFFSET($EN$3,0,0,'Données projet'!$E$15+1,1))-AVERAGE(OFFSET($H$3,0,0,'Données projet'!$E$15+1,1))</f>
        <v>255.2813753128475</v>
      </c>
      <c r="EP72" s="59">
        <f t="shared" si="100"/>
        <v>317.03005098025352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2.6055938133718719</v>
      </c>
      <c r="EW72" s="21">
        <f>EXP(-LN(2)/25)*EW71+(1-EXP(-LN(2)/25))/(LN(2)/25)*Calculateur!ER72*Calculateur!ET72*VLOOKUP('Données projet'!$B$15,Paramètres!$A$1:$I$89,3,0)*0.475*44/12</f>
        <v>5.9810774915246672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8.5866713048965391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1.7053025658242404E-13</v>
      </c>
      <c r="O73" s="13">
        <f>N73*VLOOKUP('Données projet'!$B$9,Paramètres!$A$1:$I$89,3,0)*VLOOKUP('Données projet'!$B$9,Paramètres!$A$1:$I$89,5,0)</f>
        <v>1.250327841262333E-13</v>
      </c>
      <c r="P73" s="13">
        <f t="shared" si="87"/>
        <v>1.8301318724634299E-12</v>
      </c>
      <c r="Q73" s="20">
        <f t="shared" si="54"/>
        <v>3.405245110226996E-12</v>
      </c>
      <c r="R73" s="59">
        <f t="shared" si="55"/>
        <v>293.33333333333672</v>
      </c>
      <c r="S73" s="59">
        <f ca="1">AVERAGE(OFFSET($R$3,0,0,'Données projet'!$E$9+1,1))-AVERAGE(OFFSET($H$3,0,0,'Données projet'!$E$9+1,1))</f>
        <v>193.60868637458515</v>
      </c>
      <c r="T73" s="59">
        <f t="shared" si="88"/>
        <v>272.97841038165217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-1.3567387213697657E-13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281.79835088425858</v>
      </c>
      <c r="AO73" s="59">
        <f t="shared" si="90"/>
        <v>345.4750813433123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301.99999999999994</v>
      </c>
      <c r="BE73" s="13">
        <f>BD73*VLOOKUP('Données projet'!$B$11,Paramètres!$A$1:$I$89,3,0)*VLOOKUP('Données projet'!$B$11,Paramètres!$A$1:$I$89,5,0)</f>
        <v>273.24959999999999</v>
      </c>
      <c r="BF73" s="13">
        <f t="shared" si="91"/>
        <v>65.538435495514321</v>
      </c>
      <c r="BG73" s="20">
        <f t="shared" si="61"/>
        <v>590.05582848802067</v>
      </c>
      <c r="BH73" s="59">
        <f t="shared" si="62"/>
        <v>883.38916182135404</v>
      </c>
      <c r="BI73" s="59">
        <f ca="1">AVERAGE(OFFSET($BH$3,0,0,'Données projet'!$E$11+1,1))-AVERAGE(OFFSET($H$3,0,0,'Données projet'!$E$11+1,1))</f>
        <v>343.6089004382095</v>
      </c>
      <c r="BJ73" s="59">
        <f t="shared" si="92"/>
        <v>278.21741231699929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5.6843418860808015E-14</v>
      </c>
      <c r="BZ73" s="13">
        <f>BY73*VLOOKUP('Données projet'!$B$12,Paramètres!$A$1:$I$89,3,0)*VLOOKUP('Données projet'!$B$12,Paramètres!$A$1:$I$89,5,0)</f>
        <v>4.4337866711430253E-14</v>
      </c>
      <c r="CA73" s="13">
        <f t="shared" si="93"/>
        <v>7.3222115536967035E-13</v>
      </c>
      <c r="CB73" s="20">
        <f t="shared" si="64"/>
        <v>1.3525069634579169E-12</v>
      </c>
      <c r="CC73" s="59">
        <f t="shared" si="65"/>
        <v>293.33333333333468</v>
      </c>
      <c r="CD73" s="59">
        <f ca="1">AVERAGE(OFFSET($CC$3,0,0,'Données projet'!$E$12+1,1))-AVERAGE(OFFSET($H$3,0,0,'Données projet'!$E$12+1,1))</f>
        <v>288.82868507674738</v>
      </c>
      <c r="CE73" s="59">
        <f t="shared" si="94"/>
        <v>283.48738729114024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1.0343559939816436</v>
      </c>
      <c r="CM73" s="21">
        <f>EXP(-LN(2)/2)*CM72+(1-EXP(-LN(2)/2))/(LN(2)/2)*CG73*CJ73*VLOOKUP('Données projet'!$B$12,Paramètres!$A$1:$I$89,3,0)*0.475*44/12</f>
        <v>3.1186174739194702E-6</v>
      </c>
      <c r="CN73" s="22">
        <f t="shared" si="66"/>
        <v>1.0343591125991174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10</v>
      </c>
      <c r="CS73" s="12">
        <f t="array" ref="CS73">INDEX(CR:CR,MIN(IF(ISNUMBER(CR73:CR269),ROW(CR73:CR269),"")))</f>
        <v>10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271.12799999999999</v>
      </c>
      <c r="CV73" s="13">
        <f t="shared" si="95"/>
        <v>65.088601240045278</v>
      </c>
      <c r="CW73" s="20">
        <f t="shared" si="67"/>
        <v>585.57724715974553</v>
      </c>
      <c r="CX73" s="59">
        <f t="shared" si="68"/>
        <v>878.9105804930789</v>
      </c>
      <c r="CY73" s="59">
        <f ca="1">AVERAGE(OFFSET($CX$3,0,0,'Données projet'!$E$13+1,1))-AVERAGE(OFFSET($H$3,0,0,'Données projet'!$E$13+1,1))</f>
        <v>273.73158910361786</v>
      </c>
      <c r="CZ73" s="59">
        <f t="shared" si="96"/>
        <v>256.77417912163997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316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-3.4106051316484809E-13</v>
      </c>
      <c r="DP73" s="17">
        <f>DO73*VLOOKUP('Données projet'!$B$14,Paramètres!$A$1:$I$89,3,0)*VLOOKUP('Données projet'!$B$14,Paramètres!$A$1:$I$89,5,0)</f>
        <v>-1.9065282685915009E-13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534.78683721545372</v>
      </c>
      <c r="DU73" s="59">
        <f t="shared" si="98"/>
        <v>710.59298755711075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2.4749895605240275</v>
      </c>
      <c r="EB73" s="21">
        <f>EXP(-LN(2)/25)*EB72+(1-EXP(-LN(2)/25))/(LN(2)/25)*Calculateur!DW73*Calculateur!DY73*VLOOKUP('Données projet'!$B$14,Paramètres!$A$1:$I$89,3,0)*0.475*44/12</f>
        <v>7.9807371733975696</v>
      </c>
      <c r="EC73" s="21">
        <f>EXP(-LN(2)/2)*EC72+(1-EXP(-LN(2)/2))/(LN(2)/2)*DW73*DZ73*VLOOKUP('Données projet'!$B$14,Paramètres!$A$1:$I$89,3,0)*0.475*44/12</f>
        <v>1.1157672931370837E-5</v>
      </c>
      <c r="ED73" s="22">
        <f t="shared" si="72"/>
        <v>10.455737891594529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5.6843418860808015E-14</v>
      </c>
      <c r="EK73" s="17">
        <f>EJ73*VLOOKUP('Données projet'!$B$15,Paramètres!$A$1:$I$89,3,0)*VLOOKUP('Données projet'!$B$15,Paramètres!$A$1:$I$89,5,0)</f>
        <v>4.9658410716801891E-14</v>
      </c>
      <c r="EL73" s="13">
        <f t="shared" si="99"/>
        <v>8.0934058173791862E-13</v>
      </c>
      <c r="EM73" s="20">
        <f t="shared" si="73"/>
        <v>1.4960899118586383E-12</v>
      </c>
      <c r="EN73" s="59">
        <f t="shared" si="74"/>
        <v>293.33333333333479</v>
      </c>
      <c r="EO73" s="59">
        <f ca="1">AVERAGE(OFFSET($EN$3,0,0,'Données projet'!$E$15+1,1))-AVERAGE(OFFSET($H$3,0,0,'Données projet'!$E$15+1,1))</f>
        <v>255.2813753128475</v>
      </c>
      <c r="EP73" s="59">
        <f t="shared" si="100"/>
        <v>317.03005098025352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2.5544997079469498</v>
      </c>
      <c r="EW73" s="21">
        <f>EXP(-LN(2)/25)*EW72+(1-EXP(-LN(2)/25))/(LN(2)/25)*Calculateur!ER73*Calculateur!ET73*VLOOKUP('Données projet'!$B$15,Paramètres!$A$1:$I$89,3,0)*0.475*44/12</f>
        <v>5.8175246129877296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8.3720243209346794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1.7053025658242404E-13</v>
      </c>
      <c r="O74" s="13">
        <f>N74*VLOOKUP('Données projet'!$B$9,Paramètres!$A$1:$I$89,3,0)*VLOOKUP('Données projet'!$B$9,Paramètres!$A$1:$I$89,5,0)</f>
        <v>1.250327841262333E-13</v>
      </c>
      <c r="P74" s="13">
        <f t="shared" si="87"/>
        <v>1.8301318724634299E-12</v>
      </c>
      <c r="Q74" s="20">
        <f t="shared" si="54"/>
        <v>3.405245110226996E-12</v>
      </c>
      <c r="R74" s="59">
        <f t="shared" si="55"/>
        <v>293.33333333333672</v>
      </c>
      <c r="S74" s="59">
        <f ca="1">AVERAGE(OFFSET($R$3,0,0,'Données projet'!$E$9+1,1))-AVERAGE(OFFSET($H$3,0,0,'Données projet'!$E$9+1,1))</f>
        <v>193.60868637458515</v>
      </c>
      <c r="T74" s="59">
        <f t="shared" si="88"/>
        <v>272.97841038165217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-1.3567387213697657E-13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281.79835088425858</v>
      </c>
      <c r="AO74" s="59">
        <f t="shared" si="90"/>
        <v>345.4750813433123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281.59999999999997</v>
      </c>
      <c r="BE74" s="13">
        <f>BD74*VLOOKUP('Données projet'!$B$11,Paramètres!$A$1:$I$89,3,0)*VLOOKUP('Données projet'!$B$11,Paramètres!$A$1:$I$89,5,0)</f>
        <v>254.79167999999996</v>
      </c>
      <c r="BF74" s="13">
        <f t="shared" si="91"/>
        <v>61.610870508448471</v>
      </c>
      <c r="BG74" s="20">
        <f t="shared" si="61"/>
        <v>551.067775468881</v>
      </c>
      <c r="BH74" s="59">
        <f t="shared" si="62"/>
        <v>844.40110880221437</v>
      </c>
      <c r="BI74" s="59">
        <f ca="1">AVERAGE(OFFSET($BH$3,0,0,'Données projet'!$E$11+1,1))-AVERAGE(OFFSET($H$3,0,0,'Données projet'!$E$11+1,1))</f>
        <v>343.6089004382095</v>
      </c>
      <c r="BJ74" s="59">
        <f t="shared" si="92"/>
        <v>278.21741231699929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5.6843418860808015E-14</v>
      </c>
      <c r="BZ74" s="13">
        <f>BY74*VLOOKUP('Données projet'!$B$12,Paramètres!$A$1:$I$89,3,0)*VLOOKUP('Données projet'!$B$12,Paramètres!$A$1:$I$89,5,0)</f>
        <v>4.4337866711430253E-14</v>
      </c>
      <c r="CA74" s="13">
        <f t="shared" si="93"/>
        <v>7.3222115536967035E-13</v>
      </c>
      <c r="CB74" s="20">
        <f t="shared" si="64"/>
        <v>1.3525069634579169E-12</v>
      </c>
      <c r="CC74" s="59">
        <f t="shared" si="65"/>
        <v>293.33333333333468</v>
      </c>
      <c r="CD74" s="59">
        <f ca="1">AVERAGE(OFFSET($CC$3,0,0,'Données projet'!$E$12+1,1))-AVERAGE(OFFSET($H$3,0,0,'Données projet'!$E$12+1,1))</f>
        <v>288.82868507674738</v>
      </c>
      <c r="CE74" s="59">
        <f t="shared" si="94"/>
        <v>283.48738729114024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1.0060714749317978</v>
      </c>
      <c r="CM74" s="21">
        <f>EXP(-LN(2)/2)*CM73+(1-EXP(-LN(2)/2))/(LN(2)/2)*CG74*CJ74*VLOOKUP('Données projet'!$B$12,Paramètres!$A$1:$I$89,3,0)*0.475*44/12</f>
        <v>2.2051955637353184E-6</v>
      </c>
      <c r="CN74" s="22">
        <f t="shared" si="66"/>
        <v>1.0060736801273615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-5.6843418860808015E-14</v>
      </c>
      <c r="CU74" s="17">
        <f>CT74*VLOOKUP('Données projet'!$B$13,Paramètres!$A$1:$I$89,3,0)*VLOOKUP('Données projet'!$B$13,Paramètres!$A$1:$I$89,5,0)</f>
        <v>-4.8771653382573282E-14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273.73158910361786</v>
      </c>
      <c r="CZ74" s="59">
        <f t="shared" si="96"/>
        <v>256.77417912163997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-3.4106051316484809E-13</v>
      </c>
      <c r="DP74" s="17">
        <f>DO74*VLOOKUP('Données projet'!$B$14,Paramètres!$A$1:$I$89,3,0)*VLOOKUP('Données projet'!$B$14,Paramètres!$A$1:$I$89,5,0)</f>
        <v>-1.9065282685915009E-13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534.78683721545372</v>
      </c>
      <c r="DU74" s="59">
        <f t="shared" si="98"/>
        <v>710.59298755711075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2.4264565248367234</v>
      </c>
      <c r="EB74" s="21">
        <f>EXP(-LN(2)/25)*EB73+(1-EXP(-LN(2)/25))/(LN(2)/25)*Calculateur!DW74*Calculateur!DY74*VLOOKUP('Données projet'!$B$14,Paramètres!$A$1:$I$89,3,0)*0.475*44/12</f>
        <v>7.7625034957022852</v>
      </c>
      <c r="EC74" s="21">
        <f>EXP(-LN(2)/2)*EC73+(1-EXP(-LN(2)/2))/(LN(2)/2)*DW74*DZ74*VLOOKUP('Données projet'!$B$14,Paramètres!$A$1:$I$89,3,0)*0.475*44/12</f>
        <v>7.8896661920339027E-6</v>
      </c>
      <c r="ED74" s="22">
        <f t="shared" si="72"/>
        <v>10.1889679102052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5.6843418860808015E-14</v>
      </c>
      <c r="EK74" s="17">
        <f>EJ74*VLOOKUP('Données projet'!$B$15,Paramètres!$A$1:$I$89,3,0)*VLOOKUP('Données projet'!$B$15,Paramètres!$A$1:$I$89,5,0)</f>
        <v>4.9658410716801891E-14</v>
      </c>
      <c r="EL74" s="13">
        <f t="shared" si="99"/>
        <v>8.0934058173791862E-13</v>
      </c>
      <c r="EM74" s="20">
        <f t="shared" si="73"/>
        <v>1.4960899118586383E-12</v>
      </c>
      <c r="EN74" s="59">
        <f t="shared" si="74"/>
        <v>293.33333333333479</v>
      </c>
      <c r="EO74" s="59">
        <f ca="1">AVERAGE(OFFSET($EN$3,0,0,'Données projet'!$E$15+1,1))-AVERAGE(OFFSET($H$3,0,0,'Données projet'!$E$15+1,1))</f>
        <v>255.2813753128475</v>
      </c>
      <c r="EP74" s="59">
        <f t="shared" si="100"/>
        <v>317.03005098025352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2.5044075267650832</v>
      </c>
      <c r="EW74" s="21">
        <f>EXP(-LN(2)/25)*EW73+(1-EXP(-LN(2)/25))/(LN(2)/25)*Calculateur!ER74*Calculateur!ET74*VLOOKUP('Données projet'!$B$15,Paramètres!$A$1:$I$89,3,0)*0.475*44/12</f>
        <v>5.6584440965152565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8.1628516232803392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1.7053025658242404E-13</v>
      </c>
      <c r="O75" s="13">
        <f>N75*VLOOKUP('Données projet'!$B$9,Paramètres!$A$1:$I$89,3,0)*VLOOKUP('Données projet'!$B$9,Paramètres!$A$1:$I$89,5,0)</f>
        <v>1.250327841262333E-13</v>
      </c>
      <c r="P75" s="13">
        <f t="shared" si="87"/>
        <v>1.8301318724634299E-12</v>
      </c>
      <c r="Q75" s="20">
        <f t="shared" si="54"/>
        <v>3.405245110226996E-12</v>
      </c>
      <c r="R75" s="59">
        <f t="shared" si="55"/>
        <v>293.33333333333672</v>
      </c>
      <c r="S75" s="59">
        <f ca="1">AVERAGE(OFFSET($R$3,0,0,'Données projet'!$E$9+1,1))-AVERAGE(OFFSET($H$3,0,0,'Données projet'!$E$9+1,1))</f>
        <v>193.60868637458515</v>
      </c>
      <c r="T75" s="59">
        <f t="shared" si="88"/>
        <v>272.97841038165217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-1.3567387213697657E-13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281.79835088425858</v>
      </c>
      <c r="AO75" s="59">
        <f t="shared" si="90"/>
        <v>345.4750813433123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289.2</v>
      </c>
      <c r="BE75" s="13">
        <f>BD75*VLOOKUP('Données projet'!$B$11,Paramètres!$A$1:$I$89,3,0)*VLOOKUP('Données projet'!$B$11,Paramètres!$A$1:$I$89,5,0)</f>
        <v>261.66816</v>
      </c>
      <c r="BF75" s="13">
        <f t="shared" si="91"/>
        <v>63.077829793082856</v>
      </c>
      <c r="BG75" s="20">
        <f t="shared" si="61"/>
        <v>565.5992655562859</v>
      </c>
      <c r="BH75" s="59">
        <f t="shared" si="62"/>
        <v>858.93259888961916</v>
      </c>
      <c r="BI75" s="59">
        <f ca="1">AVERAGE(OFFSET($BH$3,0,0,'Données projet'!$E$11+1,1))-AVERAGE(OFFSET($H$3,0,0,'Données projet'!$E$11+1,1))</f>
        <v>343.6089004382095</v>
      </c>
      <c r="BJ75" s="59">
        <f t="shared" si="92"/>
        <v>278.21741231699929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5.6843418860808015E-14</v>
      </c>
      <c r="BZ75" s="13">
        <f>BY75*VLOOKUP('Données projet'!$B$12,Paramètres!$A$1:$I$89,3,0)*VLOOKUP('Données projet'!$B$12,Paramètres!$A$1:$I$89,5,0)</f>
        <v>4.4337866711430253E-14</v>
      </c>
      <c r="CA75" s="13">
        <f t="shared" si="93"/>
        <v>7.3222115536967035E-13</v>
      </c>
      <c r="CB75" s="20">
        <f t="shared" si="64"/>
        <v>1.3525069634579169E-12</v>
      </c>
      <c r="CC75" s="59">
        <f t="shared" si="65"/>
        <v>293.33333333333468</v>
      </c>
      <c r="CD75" s="59">
        <f ca="1">AVERAGE(OFFSET($CC$3,0,0,'Données projet'!$E$12+1,1))-AVERAGE(OFFSET($H$3,0,0,'Données projet'!$E$12+1,1))</f>
        <v>288.82868507674738</v>
      </c>
      <c r="CE75" s="59">
        <f t="shared" si="94"/>
        <v>283.48738729114024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0.97856039754278834</v>
      </c>
      <c r="CM75" s="21">
        <f>EXP(-LN(2)/2)*CM74+(1-EXP(-LN(2)/2))/(LN(2)/2)*CG75*CJ75*VLOOKUP('Données projet'!$B$12,Paramètres!$A$1:$I$89,3,0)*0.475*44/12</f>
        <v>1.5593087369597351E-6</v>
      </c>
      <c r="CN75" s="22">
        <f t="shared" si="66"/>
        <v>0.97856195685152525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-5.6843418860808015E-14</v>
      </c>
      <c r="CU75" s="17">
        <f>CT75*VLOOKUP('Données projet'!$B$13,Paramètres!$A$1:$I$89,3,0)*VLOOKUP('Données projet'!$B$13,Paramètres!$A$1:$I$89,5,0)</f>
        <v>-4.8771653382573282E-14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273.73158910361786</v>
      </c>
      <c r="CZ75" s="59">
        <f t="shared" si="96"/>
        <v>256.77417912163997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-3.4106051316484809E-13</v>
      </c>
      <c r="DP75" s="17">
        <f>DO75*VLOOKUP('Données projet'!$B$14,Paramètres!$A$1:$I$89,3,0)*VLOOKUP('Données projet'!$B$14,Paramètres!$A$1:$I$89,5,0)</f>
        <v>-1.9065282685915009E-13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534.78683721545372</v>
      </c>
      <c r="DU75" s="59">
        <f t="shared" si="98"/>
        <v>710.59298755711075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2.3788751923770182</v>
      </c>
      <c r="EB75" s="21">
        <f>EXP(-LN(2)/25)*EB74+(1-EXP(-LN(2)/25))/(LN(2)/25)*Calculateur!DW75*Calculateur!DY75*VLOOKUP('Données projet'!$B$14,Paramètres!$A$1:$I$89,3,0)*0.475*44/12</f>
        <v>7.5502374293999885</v>
      </c>
      <c r="EC75" s="21">
        <f>EXP(-LN(2)/2)*EC74+(1-EXP(-LN(2)/2))/(LN(2)/2)*DW75*DZ75*VLOOKUP('Données projet'!$B$14,Paramètres!$A$1:$I$89,3,0)*0.475*44/12</f>
        <v>5.5788364656854185E-6</v>
      </c>
      <c r="ED75" s="22">
        <f t="shared" si="72"/>
        <v>9.9291182006134733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5.6843418860808015E-14</v>
      </c>
      <c r="EK75" s="17">
        <f>EJ75*VLOOKUP('Données projet'!$B$15,Paramètres!$A$1:$I$89,3,0)*VLOOKUP('Données projet'!$B$15,Paramètres!$A$1:$I$89,5,0)</f>
        <v>4.9658410716801891E-14</v>
      </c>
      <c r="EL75" s="13">
        <f t="shared" si="99"/>
        <v>8.0934058173791862E-13</v>
      </c>
      <c r="EM75" s="20">
        <f t="shared" si="73"/>
        <v>1.4960899118586383E-12</v>
      </c>
      <c r="EN75" s="59">
        <f t="shared" si="74"/>
        <v>293.33333333333479</v>
      </c>
      <c r="EO75" s="59">
        <f ca="1">AVERAGE(OFFSET($EN$3,0,0,'Données projet'!$E$15+1,1))-AVERAGE(OFFSET($H$3,0,0,'Données projet'!$E$15+1,1))</f>
        <v>255.2813753128475</v>
      </c>
      <c r="EP75" s="59">
        <f t="shared" si="100"/>
        <v>317.03005098025352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2.4552976227029792</v>
      </c>
      <c r="EW75" s="21">
        <f>EXP(-LN(2)/25)*EW74+(1-EXP(-LN(2)/25))/(LN(2)/25)*Calculateur!ER75*Calculateur!ET75*VLOOKUP('Données projet'!$B$15,Paramètres!$A$1:$I$89,3,0)*0.475*44/12</f>
        <v>5.5037136451314046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7.9590112678343843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1.7053025658242404E-13</v>
      </c>
      <c r="O76" s="13">
        <f>N76*VLOOKUP('Données projet'!$B$9,Paramètres!$A$1:$I$89,3,0)*VLOOKUP('Données projet'!$B$9,Paramètres!$A$1:$I$89,5,0)</f>
        <v>1.250327841262333E-13</v>
      </c>
      <c r="P76" s="13">
        <f t="shared" si="87"/>
        <v>1.8301318724634299E-12</v>
      </c>
      <c r="Q76" s="20">
        <f t="shared" si="54"/>
        <v>3.405245110226996E-12</v>
      </c>
      <c r="R76" s="59">
        <f t="shared" si="55"/>
        <v>293.33333333333672</v>
      </c>
      <c r="S76" s="59">
        <f ca="1">AVERAGE(OFFSET($R$3,0,0,'Données projet'!$E$9+1,1))-AVERAGE(OFFSET($H$3,0,0,'Données projet'!$E$9+1,1))</f>
        <v>193.60868637458515</v>
      </c>
      <c r="T76" s="59">
        <f t="shared" si="88"/>
        <v>272.97841038165217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-1.3567387213697657E-13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281.79835088425858</v>
      </c>
      <c r="AO76" s="59">
        <f t="shared" si="90"/>
        <v>345.4750813433123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296.8</v>
      </c>
      <c r="BE76" s="13">
        <f>BD76*VLOOKUP('Données projet'!$B$11,Paramètres!$A$1:$I$89,3,0)*VLOOKUP('Données projet'!$B$11,Paramètres!$A$1:$I$89,5,0)</f>
        <v>268.54464000000002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873.45628456578811</v>
      </c>
      <c r="BI76" s="59">
        <f ca="1">AVERAGE(OFFSET($BH$3,0,0,'Données projet'!$E$11+1,1))-AVERAGE(OFFSET($H$3,0,0,'Données projet'!$E$11+1,1))</f>
        <v>343.6089004382095</v>
      </c>
      <c r="BJ76" s="59">
        <f t="shared" si="92"/>
        <v>278.21741231699929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5.6843418860808015E-14</v>
      </c>
      <c r="BZ76" s="13">
        <f>BY76*VLOOKUP('Données projet'!$B$12,Paramètres!$A$1:$I$89,3,0)*VLOOKUP('Données projet'!$B$12,Paramètres!$A$1:$I$89,5,0)</f>
        <v>4.4337866711430253E-14</v>
      </c>
      <c r="CA76" s="13">
        <f t="shared" si="93"/>
        <v>7.3222115536967035E-13</v>
      </c>
      <c r="CB76" s="20">
        <f t="shared" si="64"/>
        <v>1.3525069634579169E-12</v>
      </c>
      <c r="CC76" s="59">
        <f t="shared" si="65"/>
        <v>293.33333333333468</v>
      </c>
      <c r="CD76" s="59">
        <f ca="1">AVERAGE(OFFSET($CC$3,0,0,'Données projet'!$E$12+1,1))-AVERAGE(OFFSET($H$3,0,0,'Données projet'!$E$12+1,1))</f>
        <v>288.82868507674738</v>
      </c>
      <c r="CE76" s="59">
        <f t="shared" si="94"/>
        <v>283.48738729114024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0.95180161201172597</v>
      </c>
      <c r="CM76" s="21">
        <f>EXP(-LN(2)/2)*CM75+(1-EXP(-LN(2)/2))/(LN(2)/2)*CG76*CJ76*VLOOKUP('Données projet'!$B$12,Paramètres!$A$1:$I$89,3,0)*0.475*44/12</f>
        <v>1.1025977818676592E-6</v>
      </c>
      <c r="CN76" s="22">
        <f t="shared" si="66"/>
        <v>0.95180271460950783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-5.6843418860808015E-14</v>
      </c>
      <c r="CU76" s="17">
        <f>CT76*VLOOKUP('Données projet'!$B$13,Paramètres!$A$1:$I$89,3,0)*VLOOKUP('Données projet'!$B$13,Paramètres!$A$1:$I$89,5,0)</f>
        <v>-4.8771653382573282E-14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273.73158910361786</v>
      </c>
      <c r="CZ76" s="59">
        <f t="shared" si="96"/>
        <v>256.77417912163997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-3.4106051316484809E-13</v>
      </c>
      <c r="DP76" s="17">
        <f>DO76*VLOOKUP('Données projet'!$B$14,Paramètres!$A$1:$I$89,3,0)*VLOOKUP('Données projet'!$B$14,Paramètres!$A$1:$I$89,5,0)</f>
        <v>-1.9065282685915009E-13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534.78683721545372</v>
      </c>
      <c r="DU76" s="59">
        <f t="shared" si="98"/>
        <v>710.59298755711075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2.3322269008251006</v>
      </c>
      <c r="EB76" s="21">
        <f>EXP(-LN(2)/25)*EB75+(1-EXP(-LN(2)/25))/(LN(2)/25)*Calculateur!DW76*Calculateur!DY76*VLOOKUP('Données projet'!$B$14,Paramètres!$A$1:$I$89,3,0)*0.475*44/12</f>
        <v>7.343775789843316</v>
      </c>
      <c r="EC76" s="21">
        <f>EXP(-LN(2)/2)*EC75+(1-EXP(-LN(2)/2))/(LN(2)/2)*DW76*DZ76*VLOOKUP('Données projet'!$B$14,Paramètres!$A$1:$I$89,3,0)*0.475*44/12</f>
        <v>3.9448330960169514E-6</v>
      </c>
      <c r="ED76" s="22">
        <f t="shared" si="72"/>
        <v>9.6760066355015137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5.6843418860808015E-14</v>
      </c>
      <c r="EK76" s="17">
        <f>EJ76*VLOOKUP('Données projet'!$B$15,Paramètres!$A$1:$I$89,3,0)*VLOOKUP('Données projet'!$B$15,Paramètres!$A$1:$I$89,5,0)</f>
        <v>4.9658410716801891E-14</v>
      </c>
      <c r="EL76" s="13">
        <f t="shared" si="99"/>
        <v>8.0934058173791862E-13</v>
      </c>
      <c r="EM76" s="20">
        <f t="shared" si="73"/>
        <v>1.4960899118586383E-12</v>
      </c>
      <c r="EN76" s="59">
        <f t="shared" si="74"/>
        <v>293.33333333333479</v>
      </c>
      <c r="EO76" s="59">
        <f ca="1">AVERAGE(OFFSET($EN$3,0,0,'Données projet'!$E$15+1,1))-AVERAGE(OFFSET($H$3,0,0,'Données projet'!$E$15+1,1))</f>
        <v>255.2813753128475</v>
      </c>
      <c r="EP76" s="59">
        <f t="shared" si="100"/>
        <v>317.03005098025352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2.4071507339054494</v>
      </c>
      <c r="EW76" s="21">
        <f>EXP(-LN(2)/25)*EW75+(1-EXP(-LN(2)/25))/(LN(2)/25)*Calculateur!ER76*Calculateur!ET76*VLOOKUP('Données projet'!$B$15,Paramètres!$A$1:$I$89,3,0)*0.475*44/12</f>
        <v>5.3532143060775645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7.7603650399830144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1.7053025658242404E-13</v>
      </c>
      <c r="O77" s="13">
        <f>N77*VLOOKUP('Données projet'!$B$9,Paramètres!$A$1:$I$89,3,0)*VLOOKUP('Données projet'!$B$9,Paramètres!$A$1:$I$89,5,0)</f>
        <v>1.250327841262333E-13</v>
      </c>
      <c r="P77" s="13">
        <f t="shared" si="87"/>
        <v>1.8301318724634299E-12</v>
      </c>
      <c r="Q77" s="20">
        <f t="shared" si="54"/>
        <v>3.405245110226996E-12</v>
      </c>
      <c r="R77" s="59">
        <f t="shared" si="55"/>
        <v>293.33333333333672</v>
      </c>
      <c r="S77" s="59">
        <f ca="1">AVERAGE(OFFSET($R$3,0,0,'Données projet'!$E$9+1,1))-AVERAGE(OFFSET($H$3,0,0,'Données projet'!$E$9+1,1))</f>
        <v>193.60868637458515</v>
      </c>
      <c r="T77" s="59">
        <f t="shared" si="88"/>
        <v>272.97841038165217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-1.3567387213697657E-13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281.79835088425858</v>
      </c>
      <c r="AO77" s="59">
        <f t="shared" si="90"/>
        <v>345.4750813433123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304.40000000000003</v>
      </c>
      <c r="BE77" s="13">
        <f>BD77*VLOOKUP('Données projet'!$B$11,Paramètres!$A$1:$I$89,3,0)*VLOOKUP('Données projet'!$B$11,Paramètres!$A$1:$I$89,5,0)</f>
        <v>275.42112000000003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887.97238865302188</v>
      </c>
      <c r="BI77" s="59">
        <f ca="1">AVERAGE(OFFSET($BH$3,0,0,'Données projet'!$E$11+1,1))-AVERAGE(OFFSET($H$3,0,0,'Données projet'!$E$11+1,1))</f>
        <v>343.6089004382095</v>
      </c>
      <c r="BJ77" s="59">
        <f t="shared" si="92"/>
        <v>278.21741231699929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5.6843418860808015E-14</v>
      </c>
      <c r="BZ77" s="13">
        <f>BY77*VLOOKUP('Données projet'!$B$12,Paramètres!$A$1:$I$89,3,0)*VLOOKUP('Données projet'!$B$12,Paramètres!$A$1:$I$89,5,0)</f>
        <v>4.4337866711430253E-14</v>
      </c>
      <c r="CA77" s="13">
        <f t="shared" si="93"/>
        <v>7.3222115536967035E-13</v>
      </c>
      <c r="CB77" s="20">
        <f t="shared" si="64"/>
        <v>1.3525069634579169E-12</v>
      </c>
      <c r="CC77" s="59">
        <f t="shared" si="65"/>
        <v>293.33333333333468</v>
      </c>
      <c r="CD77" s="59">
        <f ca="1">AVERAGE(OFFSET($CC$3,0,0,'Données projet'!$E$12+1,1))-AVERAGE(OFFSET($H$3,0,0,'Données projet'!$E$12+1,1))</f>
        <v>288.82868507674738</v>
      </c>
      <c r="CE77" s="59">
        <f t="shared" si="94"/>
        <v>283.48738729114024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0.92577454687819394</v>
      </c>
      <c r="CM77" s="21">
        <f>EXP(-LN(2)/2)*CM76+(1-EXP(-LN(2)/2))/(LN(2)/2)*CG77*CJ77*VLOOKUP('Données projet'!$B$12,Paramètres!$A$1:$I$89,3,0)*0.475*44/12</f>
        <v>7.7965436847986755E-7</v>
      </c>
      <c r="CN77" s="22">
        <f t="shared" si="66"/>
        <v>0.92577532653256245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-5.6843418860808015E-14</v>
      </c>
      <c r="CU77" s="17">
        <f>CT77*VLOOKUP('Données projet'!$B$13,Paramètres!$A$1:$I$89,3,0)*VLOOKUP('Données projet'!$B$13,Paramètres!$A$1:$I$89,5,0)</f>
        <v>-4.8771653382573282E-14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273.73158910361786</v>
      </c>
      <c r="CZ77" s="59">
        <f t="shared" si="96"/>
        <v>256.77417912163997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-3.4106051316484809E-13</v>
      </c>
      <c r="DP77" s="17">
        <f>DO77*VLOOKUP('Données projet'!$B$14,Paramètres!$A$1:$I$89,3,0)*VLOOKUP('Données projet'!$B$14,Paramètres!$A$1:$I$89,5,0)</f>
        <v>-1.9065282685915009E-13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534.78683721545372</v>
      </c>
      <c r="DU77" s="59">
        <f t="shared" si="98"/>
        <v>710.59298755711075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2.286493353817868</v>
      </c>
      <c r="EB77" s="21">
        <f>EXP(-LN(2)/25)*EB76+(1-EXP(-LN(2)/25))/(LN(2)/25)*Calculateur!DW77*Calculateur!DY77*VLOOKUP('Données projet'!$B$14,Paramètres!$A$1:$I$89,3,0)*0.475*44/12</f>
        <v>7.1429598546776658</v>
      </c>
      <c r="EC77" s="21">
        <f>EXP(-LN(2)/2)*EC76+(1-EXP(-LN(2)/2))/(LN(2)/2)*DW77*DZ77*VLOOKUP('Données projet'!$B$14,Paramètres!$A$1:$I$89,3,0)*0.475*44/12</f>
        <v>2.7894182328427093E-6</v>
      </c>
      <c r="ED77" s="22">
        <f t="shared" si="72"/>
        <v>9.4294559979137667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5.6843418860808015E-14</v>
      </c>
      <c r="EK77" s="17">
        <f>EJ77*VLOOKUP('Données projet'!$B$15,Paramètres!$A$1:$I$89,3,0)*VLOOKUP('Données projet'!$B$15,Paramètres!$A$1:$I$89,5,0)</f>
        <v>4.9658410716801891E-14</v>
      </c>
      <c r="EL77" s="13">
        <f t="shared" si="99"/>
        <v>8.0934058173791862E-13</v>
      </c>
      <c r="EM77" s="20">
        <f t="shared" si="73"/>
        <v>1.4960899118586383E-12</v>
      </c>
      <c r="EN77" s="59">
        <f t="shared" si="74"/>
        <v>293.33333333333479</v>
      </c>
      <c r="EO77" s="59">
        <f ca="1">AVERAGE(OFFSET($EN$3,0,0,'Données projet'!$E$15+1,1))-AVERAGE(OFFSET($H$3,0,0,'Données projet'!$E$15+1,1))</f>
        <v>255.2813753128475</v>
      </c>
      <c r="EP77" s="59">
        <f t="shared" si="100"/>
        <v>317.03005098025352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2.3599479762305369</v>
      </c>
      <c r="EW77" s="21">
        <f>EXP(-LN(2)/25)*EW76+(1-EXP(-LN(2)/25))/(LN(2)/25)*Calculateur!ER77*Calculateur!ET77*VLOOKUP('Données projet'!$B$15,Paramètres!$A$1:$I$89,3,0)*0.475*44/12</f>
        <v>5.2068303793645683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7.5667783555951047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1.7053025658242404E-13</v>
      </c>
      <c r="O78" s="13">
        <f>N78*VLOOKUP('Données projet'!$B$9,Paramètres!$A$1:$I$89,3,0)*VLOOKUP('Données projet'!$B$9,Paramètres!$A$1:$I$89,5,0)</f>
        <v>1.250327841262333E-13</v>
      </c>
      <c r="P78" s="13">
        <f t="shared" si="87"/>
        <v>1.8301318724634299E-12</v>
      </c>
      <c r="Q78" s="20">
        <f t="shared" si="54"/>
        <v>3.405245110226996E-12</v>
      </c>
      <c r="R78" s="59">
        <f t="shared" si="55"/>
        <v>293.33333333333672</v>
      </c>
      <c r="S78" s="59">
        <f ca="1">AVERAGE(OFFSET($R$3,0,0,'Données projet'!$E$9+1,1))-AVERAGE(OFFSET($H$3,0,0,'Données projet'!$E$9+1,1))</f>
        <v>193.60868637458515</v>
      </c>
      <c r="T78" s="59">
        <f t="shared" si="88"/>
        <v>272.97841038165217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-1.3567387213697657E-13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281.79835088425858</v>
      </c>
      <c r="AO78" s="59">
        <f t="shared" si="90"/>
        <v>345.4750813433123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312.00000000000006</v>
      </c>
      <c r="BE78" s="13">
        <f>BD78*VLOOKUP('Données projet'!$B$11,Paramètres!$A$1:$I$89,3,0)*VLOOKUP('Données projet'!$B$11,Paramètres!$A$1:$I$89,5,0)</f>
        <v>282.29760000000005</v>
      </c>
      <c r="BF78" s="13">
        <f t="shared" si="91"/>
        <v>67.452326629470178</v>
      </c>
      <c r="BG78" s="20">
        <f t="shared" si="61"/>
        <v>609.14778887966054</v>
      </c>
      <c r="BH78" s="59">
        <f t="shared" si="62"/>
        <v>902.4811222129938</v>
      </c>
      <c r="BI78" s="59">
        <f ca="1">AVERAGE(OFFSET($BH$3,0,0,'Données projet'!$E$11+1,1))-AVERAGE(OFFSET($H$3,0,0,'Données projet'!$E$11+1,1))</f>
        <v>343.6089004382095</v>
      </c>
      <c r="BJ78" s="59">
        <f t="shared" si="92"/>
        <v>278.21741231699929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5.6843418860808015E-14</v>
      </c>
      <c r="BZ78" s="13">
        <f>BY78*VLOOKUP('Données projet'!$B$12,Paramètres!$A$1:$I$89,3,0)*VLOOKUP('Données projet'!$B$12,Paramètres!$A$1:$I$89,5,0)</f>
        <v>4.4337866711430253E-14</v>
      </c>
      <c r="CA78" s="13">
        <f t="shared" si="93"/>
        <v>7.3222115536967035E-13</v>
      </c>
      <c r="CB78" s="20">
        <f t="shared" si="64"/>
        <v>1.3525069634579169E-12</v>
      </c>
      <c r="CC78" s="59">
        <f t="shared" si="65"/>
        <v>293.33333333333468</v>
      </c>
      <c r="CD78" s="59">
        <f ca="1">AVERAGE(OFFSET($CC$3,0,0,'Données projet'!$E$12+1,1))-AVERAGE(OFFSET($H$3,0,0,'Données projet'!$E$12+1,1))</f>
        <v>288.82868507674738</v>
      </c>
      <c r="CE78" s="59">
        <f t="shared" si="94"/>
        <v>283.48738729114024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0.90045919320944223</v>
      </c>
      <c r="CM78" s="21">
        <f>EXP(-LN(2)/2)*CM77+(1-EXP(-LN(2)/2))/(LN(2)/2)*CG78*CJ78*VLOOKUP('Données projet'!$B$12,Paramètres!$A$1:$I$89,3,0)*0.475*44/12</f>
        <v>5.5129889093382959E-7</v>
      </c>
      <c r="CN78" s="22">
        <f t="shared" si="66"/>
        <v>0.90045974450833322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-5.6843418860808015E-14</v>
      </c>
      <c r="CU78" s="17">
        <f>CT78*VLOOKUP('Données projet'!$B$13,Paramètres!$A$1:$I$89,3,0)*VLOOKUP('Données projet'!$B$13,Paramètres!$A$1:$I$89,5,0)</f>
        <v>-4.8771653382573282E-14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273.73158910361786</v>
      </c>
      <c r="CZ78" s="59">
        <f t="shared" si="96"/>
        <v>256.77417912163997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-3.4106051316484809E-13</v>
      </c>
      <c r="DP78" s="17">
        <f>DO78*VLOOKUP('Données projet'!$B$14,Paramètres!$A$1:$I$89,3,0)*VLOOKUP('Données projet'!$B$14,Paramètres!$A$1:$I$89,5,0)</f>
        <v>-1.9065282685915009E-13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534.78683721545372</v>
      </c>
      <c r="DU78" s="59">
        <f t="shared" si="98"/>
        <v>710.59298755711075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2.2416566137727378</v>
      </c>
      <c r="EB78" s="21">
        <f>EXP(-LN(2)/25)*EB77+(1-EXP(-LN(2)/25))/(LN(2)/25)*Calculateur!DW78*Calculateur!DY78*VLOOKUP('Données projet'!$B$14,Paramètres!$A$1:$I$89,3,0)*0.475*44/12</f>
        <v>6.9476352418195715</v>
      </c>
      <c r="EC78" s="21">
        <f>EXP(-LN(2)/2)*EC77+(1-EXP(-LN(2)/2))/(LN(2)/2)*DW78*DZ78*VLOOKUP('Données projet'!$B$14,Paramètres!$A$1:$I$89,3,0)*0.475*44/12</f>
        <v>1.9724165480084757E-6</v>
      </c>
      <c r="ED78" s="22">
        <f t="shared" si="72"/>
        <v>9.1892938280088572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5.6843418860808015E-14</v>
      </c>
      <c r="EK78" s="17">
        <f>EJ78*VLOOKUP('Données projet'!$B$15,Paramètres!$A$1:$I$89,3,0)*VLOOKUP('Données projet'!$B$15,Paramètres!$A$1:$I$89,5,0)</f>
        <v>4.9658410716801891E-14</v>
      </c>
      <c r="EL78" s="13">
        <f t="shared" si="99"/>
        <v>8.0934058173791862E-13</v>
      </c>
      <c r="EM78" s="20">
        <f t="shared" si="73"/>
        <v>1.4960899118586383E-12</v>
      </c>
      <c r="EN78" s="59">
        <f t="shared" si="74"/>
        <v>293.33333333333479</v>
      </c>
      <c r="EO78" s="59">
        <f ca="1">AVERAGE(OFFSET($EN$3,0,0,'Données projet'!$E$15+1,1))-AVERAGE(OFFSET($H$3,0,0,'Données projet'!$E$15+1,1))</f>
        <v>255.2813753128475</v>
      </c>
      <c r="EP78" s="59">
        <f t="shared" si="100"/>
        <v>317.03005098025352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2.3136708358427902</v>
      </c>
      <c r="EW78" s="21">
        <f>EXP(-LN(2)/25)*EW77+(1-EXP(-LN(2)/25))/(LN(2)/25)*Calculateur!ER78*Calculateur!ET78*VLOOKUP('Données projet'!$B$15,Paramètres!$A$1:$I$89,3,0)*0.475*44/12</f>
        <v>5.0644493288255346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7.3781201646683243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1.7053025658242404E-13</v>
      </c>
      <c r="O79" s="13">
        <f>N79*VLOOKUP('Données projet'!$B$9,Paramètres!$A$1:$I$89,3,0)*VLOOKUP('Données projet'!$B$9,Paramètres!$A$1:$I$89,5,0)</f>
        <v>1.250327841262333E-13</v>
      </c>
      <c r="P79" s="13">
        <f t="shared" si="87"/>
        <v>1.8301318724634299E-12</v>
      </c>
      <c r="Q79" s="20">
        <f t="shared" si="54"/>
        <v>3.405245110226996E-12</v>
      </c>
      <c r="R79" s="59">
        <f t="shared" si="55"/>
        <v>293.33333333333672</v>
      </c>
      <c r="S79" s="59">
        <f ca="1">AVERAGE(OFFSET($R$3,0,0,'Données projet'!$E$9+1,1))-AVERAGE(OFFSET($H$3,0,0,'Données projet'!$E$9+1,1))</f>
        <v>193.60868637458515</v>
      </c>
      <c r="T79" s="59">
        <f t="shared" si="88"/>
        <v>272.97841038165217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-1.3567387213697657E-13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281.79835088425858</v>
      </c>
      <c r="AO79" s="59">
        <f t="shared" si="90"/>
        <v>345.4750813433123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291.20000000000005</v>
      </c>
      <c r="BE79" s="13">
        <f>BD79*VLOOKUP('Données projet'!$B$11,Paramètres!$A$1:$I$89,3,0)*VLOOKUP('Données projet'!$B$11,Paramètres!$A$1:$I$89,5,0)</f>
        <v>263.47776000000005</v>
      </c>
      <c r="BF79" s="13">
        <f t="shared" si="91"/>
        <v>63.46312159763346</v>
      </c>
      <c r="BG79" s="20">
        <f t="shared" si="61"/>
        <v>569.42203544921165</v>
      </c>
      <c r="BH79" s="59">
        <f t="shared" si="62"/>
        <v>862.75536878254502</v>
      </c>
      <c r="BI79" s="59">
        <f ca="1">AVERAGE(OFFSET($BH$3,0,0,'Données projet'!$E$11+1,1))-AVERAGE(OFFSET($H$3,0,0,'Données projet'!$E$11+1,1))</f>
        <v>343.6089004382095</v>
      </c>
      <c r="BJ79" s="59">
        <f t="shared" si="92"/>
        <v>278.21741231699929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5.6843418860808015E-14</v>
      </c>
      <c r="BZ79" s="13">
        <f>BY79*VLOOKUP('Données projet'!$B$12,Paramètres!$A$1:$I$89,3,0)*VLOOKUP('Données projet'!$B$12,Paramètres!$A$1:$I$89,5,0)</f>
        <v>4.4337866711430253E-14</v>
      </c>
      <c r="CA79" s="13">
        <f t="shared" si="93"/>
        <v>7.3222115536967035E-13</v>
      </c>
      <c r="CB79" s="20">
        <f t="shared" si="64"/>
        <v>1.3525069634579169E-12</v>
      </c>
      <c r="CC79" s="59">
        <f t="shared" si="65"/>
        <v>293.33333333333468</v>
      </c>
      <c r="CD79" s="59">
        <f ca="1">AVERAGE(OFFSET($CC$3,0,0,'Données projet'!$E$12+1,1))-AVERAGE(OFFSET($H$3,0,0,'Données projet'!$E$12+1,1))</f>
        <v>288.82868507674738</v>
      </c>
      <c r="CE79" s="59">
        <f t="shared" si="94"/>
        <v>283.48738729114024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0.87583608921803913</v>
      </c>
      <c r="CM79" s="21">
        <f>EXP(-LN(2)/2)*CM78+(1-EXP(-LN(2)/2))/(LN(2)/2)*CG79*CJ79*VLOOKUP('Données projet'!$B$12,Paramètres!$A$1:$I$89,3,0)*0.475*44/12</f>
        <v>3.8982718423993378E-7</v>
      </c>
      <c r="CN79" s="22">
        <f t="shared" si="66"/>
        <v>0.87583647904522333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-5.6843418860808015E-14</v>
      </c>
      <c r="CU79" s="17">
        <f>CT79*VLOOKUP('Données projet'!$B$13,Paramètres!$A$1:$I$89,3,0)*VLOOKUP('Données projet'!$B$13,Paramètres!$A$1:$I$89,5,0)</f>
        <v>-4.8771653382573282E-14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273.73158910361786</v>
      </c>
      <c r="CZ79" s="59">
        <f t="shared" si="96"/>
        <v>256.77417912163997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-3.4106051316484809E-13</v>
      </c>
      <c r="DP79" s="17">
        <f>DO79*VLOOKUP('Données projet'!$B$14,Paramètres!$A$1:$I$89,3,0)*VLOOKUP('Données projet'!$B$14,Paramètres!$A$1:$I$89,5,0)</f>
        <v>-1.9065282685915009E-13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534.78683721545372</v>
      </c>
      <c r="DU79" s="59">
        <f t="shared" si="98"/>
        <v>710.59298755711075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2.1976990948521817</v>
      </c>
      <c r="EB79" s="21">
        <f>EXP(-LN(2)/25)*EB78+(1-EXP(-LN(2)/25))/(LN(2)/25)*Calculateur!DW79*Calculateur!DY79*VLOOKUP('Données projet'!$B$14,Paramètres!$A$1:$I$89,3,0)*0.475*44/12</f>
        <v>6.7576517907717566</v>
      </c>
      <c r="EC79" s="21">
        <f>EXP(-LN(2)/2)*EC78+(1-EXP(-LN(2)/2))/(LN(2)/2)*DW79*DZ79*VLOOKUP('Données projet'!$B$14,Paramètres!$A$1:$I$89,3,0)*0.475*44/12</f>
        <v>1.3947091164213546E-6</v>
      </c>
      <c r="ED79" s="22">
        <f t="shared" si="72"/>
        <v>8.9553522803330541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5.6843418860808015E-14</v>
      </c>
      <c r="EK79" s="17">
        <f>EJ79*VLOOKUP('Données projet'!$B$15,Paramètres!$A$1:$I$89,3,0)*VLOOKUP('Données projet'!$B$15,Paramètres!$A$1:$I$89,5,0)</f>
        <v>4.9658410716801891E-14</v>
      </c>
      <c r="EL79" s="13">
        <f t="shared" si="99"/>
        <v>8.0934058173791862E-13</v>
      </c>
      <c r="EM79" s="20">
        <f t="shared" si="73"/>
        <v>1.4960899118586383E-12</v>
      </c>
      <c r="EN79" s="59">
        <f t="shared" si="74"/>
        <v>293.33333333333479</v>
      </c>
      <c r="EO79" s="59">
        <f ca="1">AVERAGE(OFFSET($EN$3,0,0,'Données projet'!$E$15+1,1))-AVERAGE(OFFSET($H$3,0,0,'Données projet'!$E$15+1,1))</f>
        <v>255.2813753128475</v>
      </c>
      <c r="EP79" s="59">
        <f t="shared" si="100"/>
        <v>317.03005098025352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2.2683011619517783</v>
      </c>
      <c r="EW79" s="21">
        <f>EXP(-LN(2)/25)*EW78+(1-EXP(-LN(2)/25))/(LN(2)/25)*Calculateur!ER79*Calculateur!ET79*VLOOKUP('Données projet'!$B$15,Paramètres!$A$1:$I$89,3,0)*0.475*44/12</f>
        <v>4.9259616956009848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7.1942628575527632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1.7053025658242404E-13</v>
      </c>
      <c r="O80" s="13">
        <f>N80*VLOOKUP('Données projet'!$B$9,Paramètres!$A$1:$I$89,3,0)*VLOOKUP('Données projet'!$B$9,Paramètres!$A$1:$I$89,5,0)</f>
        <v>1.250327841262333E-13</v>
      </c>
      <c r="P80" s="13">
        <f t="shared" si="87"/>
        <v>1.8301318724634299E-12</v>
      </c>
      <c r="Q80" s="20">
        <f t="shared" si="54"/>
        <v>3.405245110226996E-12</v>
      </c>
      <c r="R80" s="59">
        <f t="shared" si="55"/>
        <v>293.33333333333672</v>
      </c>
      <c r="S80" s="59">
        <f ca="1">AVERAGE(OFFSET($R$3,0,0,'Données projet'!$E$9+1,1))-AVERAGE(OFFSET($H$3,0,0,'Données projet'!$E$9+1,1))</f>
        <v>193.60868637458515</v>
      </c>
      <c r="T80" s="59">
        <f t="shared" si="88"/>
        <v>272.97841038165217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-1.3567387213697657E-13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281.79835088425858</v>
      </c>
      <c r="AO80" s="59">
        <f t="shared" si="90"/>
        <v>345.4750813433123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298.40000000000003</v>
      </c>
      <c r="BE80" s="13">
        <f>BD80*VLOOKUP('Données projet'!$B$11,Paramètres!$A$1:$I$89,3,0)*VLOOKUP('Données projet'!$B$11,Paramètres!$A$1:$I$89,5,0)</f>
        <v>269.99232000000001</v>
      </c>
      <c r="BF80" s="13">
        <f t="shared" si="91"/>
        <v>64.847639395310296</v>
      </c>
      <c r="BG80" s="20">
        <f t="shared" si="61"/>
        <v>583.17959594683214</v>
      </c>
      <c r="BH80" s="59">
        <f t="shared" si="62"/>
        <v>876.51292928016551</v>
      </c>
      <c r="BI80" s="59">
        <f ca="1">AVERAGE(OFFSET($BH$3,0,0,'Données projet'!$E$11+1,1))-AVERAGE(OFFSET($H$3,0,0,'Données projet'!$E$11+1,1))</f>
        <v>343.6089004382095</v>
      </c>
      <c r="BJ80" s="59">
        <f t="shared" si="92"/>
        <v>278.21741231699929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5.6843418860808015E-14</v>
      </c>
      <c r="BZ80" s="13">
        <f>BY80*VLOOKUP('Données projet'!$B$12,Paramètres!$A$1:$I$89,3,0)*VLOOKUP('Données projet'!$B$12,Paramètres!$A$1:$I$89,5,0)</f>
        <v>4.4337866711430253E-14</v>
      </c>
      <c r="CA80" s="13">
        <f t="shared" si="93"/>
        <v>7.3222115536967035E-13</v>
      </c>
      <c r="CB80" s="20">
        <f t="shared" si="64"/>
        <v>1.3525069634579169E-12</v>
      </c>
      <c r="CC80" s="59">
        <f t="shared" si="65"/>
        <v>293.33333333333468</v>
      </c>
      <c r="CD80" s="59">
        <f ca="1">AVERAGE(OFFSET($CC$3,0,0,'Données projet'!$E$12+1,1))-AVERAGE(OFFSET($H$3,0,0,'Données projet'!$E$12+1,1))</f>
        <v>288.82868507674738</v>
      </c>
      <c r="CE80" s="59">
        <f t="shared" si="94"/>
        <v>283.48738729114024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0.85188630530015363</v>
      </c>
      <c r="CM80" s="21">
        <f>EXP(-LN(2)/2)*CM79+(1-EXP(-LN(2)/2))/(LN(2)/2)*CG80*CJ80*VLOOKUP('Données projet'!$B$12,Paramètres!$A$1:$I$89,3,0)*0.475*44/12</f>
        <v>2.756494454669148E-7</v>
      </c>
      <c r="CN80" s="22">
        <f t="shared" si="66"/>
        <v>0.85188658094959913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-5.6843418860808015E-14</v>
      </c>
      <c r="CU80" s="17">
        <f>CT80*VLOOKUP('Données projet'!$B$13,Paramètres!$A$1:$I$89,3,0)*VLOOKUP('Données projet'!$B$13,Paramètres!$A$1:$I$89,5,0)</f>
        <v>-4.8771653382573282E-14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273.73158910361786</v>
      </c>
      <c r="CZ80" s="59">
        <f t="shared" si="96"/>
        <v>256.77417912163997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-3.4106051316484809E-13</v>
      </c>
      <c r="DP80" s="17">
        <f>DO80*VLOOKUP('Données projet'!$B$14,Paramètres!$A$1:$I$89,3,0)*VLOOKUP('Données projet'!$B$14,Paramètres!$A$1:$I$89,5,0)</f>
        <v>-1.9065282685915009E-13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534.78683721545372</v>
      </c>
      <c r="DU80" s="59">
        <f t="shared" si="98"/>
        <v>710.59298755711075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2.1546035560662187</v>
      </c>
      <c r="EB80" s="21">
        <f>EXP(-LN(2)/25)*EB79+(1-EXP(-LN(2)/25))/(LN(2)/25)*Calculateur!DW80*Calculateur!DY80*VLOOKUP('Données projet'!$B$14,Paramètres!$A$1:$I$89,3,0)*0.475*44/12</f>
        <v>6.5728634471836402</v>
      </c>
      <c r="EC80" s="21">
        <f>EXP(-LN(2)/2)*EC79+(1-EXP(-LN(2)/2))/(LN(2)/2)*DW80*DZ80*VLOOKUP('Données projet'!$B$14,Paramètres!$A$1:$I$89,3,0)*0.475*44/12</f>
        <v>9.8620827400423784E-7</v>
      </c>
      <c r="ED80" s="22">
        <f t="shared" si="72"/>
        <v>8.727467989458134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5.6843418860808015E-14</v>
      </c>
      <c r="EK80" s="17">
        <f>EJ80*VLOOKUP('Données projet'!$B$15,Paramètres!$A$1:$I$89,3,0)*VLOOKUP('Données projet'!$B$15,Paramètres!$A$1:$I$89,5,0)</f>
        <v>4.9658410716801891E-14</v>
      </c>
      <c r="EL80" s="13">
        <f t="shared" si="99"/>
        <v>8.0934058173791862E-13</v>
      </c>
      <c r="EM80" s="20">
        <f t="shared" si="73"/>
        <v>1.4960899118586383E-12</v>
      </c>
      <c r="EN80" s="59">
        <f t="shared" si="74"/>
        <v>293.33333333333479</v>
      </c>
      <c r="EO80" s="59">
        <f ca="1">AVERAGE(OFFSET($EN$3,0,0,'Données projet'!$E$15+1,1))-AVERAGE(OFFSET($H$3,0,0,'Données projet'!$E$15+1,1))</f>
        <v>255.2813753128475</v>
      </c>
      <c r="EP80" s="59">
        <f t="shared" si="100"/>
        <v>317.03005098025352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2.2238211596930006</v>
      </c>
      <c r="EW80" s="21">
        <f>EXP(-LN(2)/25)*EW79+(1-EXP(-LN(2)/25))/(LN(2)/25)*Calculateur!ER80*Calculateur!ET80*VLOOKUP('Données projet'!$B$15,Paramètres!$A$1:$I$89,3,0)*0.475*44/12</f>
        <v>4.7912610139897085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7.0150821736827087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1.7053025658242404E-13</v>
      </c>
      <c r="O81" s="13">
        <f>N81*VLOOKUP('Données projet'!$B$9,Paramètres!$A$1:$I$89,3,0)*VLOOKUP('Données projet'!$B$9,Paramètres!$A$1:$I$89,5,0)</f>
        <v>1.250327841262333E-13</v>
      </c>
      <c r="P81" s="13">
        <f t="shared" si="87"/>
        <v>1.8301318724634299E-12</v>
      </c>
      <c r="Q81" s="20">
        <f t="shared" si="54"/>
        <v>3.405245110226996E-12</v>
      </c>
      <c r="R81" s="59">
        <f t="shared" si="55"/>
        <v>293.33333333333672</v>
      </c>
      <c r="S81" s="59">
        <f ca="1">AVERAGE(OFFSET($R$3,0,0,'Données projet'!$E$9+1,1))-AVERAGE(OFFSET($H$3,0,0,'Données projet'!$E$9+1,1))</f>
        <v>193.60868637458515</v>
      </c>
      <c r="T81" s="59">
        <f t="shared" si="88"/>
        <v>272.97841038165217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-1.3567387213697657E-13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281.79835088425858</v>
      </c>
      <c r="AO81" s="59">
        <f t="shared" si="90"/>
        <v>345.4750813433123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305.60000000000002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890.26372606671134</v>
      </c>
      <c r="BI81" s="59">
        <f ca="1">AVERAGE(OFFSET($BH$3,0,0,'Données projet'!$E$11+1,1))-AVERAGE(OFFSET($H$3,0,0,'Données projet'!$E$11+1,1))</f>
        <v>343.6089004382095</v>
      </c>
      <c r="BJ81" s="59">
        <f t="shared" si="92"/>
        <v>278.21741231699929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5.6843418860808015E-14</v>
      </c>
      <c r="BZ81" s="13">
        <f>BY81*VLOOKUP('Données projet'!$B$12,Paramètres!$A$1:$I$89,3,0)*VLOOKUP('Données projet'!$B$12,Paramètres!$A$1:$I$89,5,0)</f>
        <v>4.4337866711430253E-14</v>
      </c>
      <c r="CA81" s="13">
        <f t="shared" si="93"/>
        <v>7.3222115536967035E-13</v>
      </c>
      <c r="CB81" s="20">
        <f t="shared" si="64"/>
        <v>1.3525069634579169E-12</v>
      </c>
      <c r="CC81" s="59">
        <f t="shared" si="65"/>
        <v>293.33333333333468</v>
      </c>
      <c r="CD81" s="59">
        <f ca="1">AVERAGE(OFFSET($CC$3,0,0,'Données projet'!$E$12+1,1))-AVERAGE(OFFSET($H$3,0,0,'Données projet'!$E$12+1,1))</f>
        <v>288.82868507674738</v>
      </c>
      <c r="CE81" s="59">
        <f t="shared" si="94"/>
        <v>283.48738729114024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0.82859142948296716</v>
      </c>
      <c r="CM81" s="21">
        <f>EXP(-LN(2)/2)*CM80+(1-EXP(-LN(2)/2))/(LN(2)/2)*CG81*CJ81*VLOOKUP('Données projet'!$B$12,Paramètres!$A$1:$I$89,3,0)*0.475*44/12</f>
        <v>1.9491359211996689E-7</v>
      </c>
      <c r="CN81" s="22">
        <f t="shared" si="66"/>
        <v>0.82859162439655931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-5.6843418860808015E-14</v>
      </c>
      <c r="CU81" s="17">
        <f>CT81*VLOOKUP('Données projet'!$B$13,Paramètres!$A$1:$I$89,3,0)*VLOOKUP('Données projet'!$B$13,Paramètres!$A$1:$I$89,5,0)</f>
        <v>-4.8771653382573282E-14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273.73158910361786</v>
      </c>
      <c r="CZ81" s="59">
        <f t="shared" si="96"/>
        <v>256.77417912163997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-3.4106051316484809E-13</v>
      </c>
      <c r="DP81" s="17">
        <f>DO81*VLOOKUP('Données projet'!$B$14,Paramètres!$A$1:$I$89,3,0)*VLOOKUP('Données projet'!$B$14,Paramètres!$A$1:$I$89,5,0)</f>
        <v>-1.9065282685915009E-13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534.78683721545372</v>
      </c>
      <c r="DU81" s="59">
        <f t="shared" si="98"/>
        <v>710.59298755711075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2.1123530945101652</v>
      </c>
      <c r="EB81" s="21">
        <f>EXP(-LN(2)/25)*EB80+(1-EXP(-LN(2)/25))/(LN(2)/25)*Calculateur!DW81*Calculateur!DY81*VLOOKUP('Données projet'!$B$14,Paramètres!$A$1:$I$89,3,0)*0.475*44/12</f>
        <v>6.3931281505685371</v>
      </c>
      <c r="EC81" s="21">
        <f>EXP(-LN(2)/2)*EC80+(1-EXP(-LN(2)/2))/(LN(2)/2)*DW81*DZ81*VLOOKUP('Données projet'!$B$14,Paramètres!$A$1:$I$89,3,0)*0.475*44/12</f>
        <v>6.9735455821067731E-7</v>
      </c>
      <c r="ED81" s="22">
        <f t="shared" si="72"/>
        <v>8.5054819424332599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5.6843418860808015E-14</v>
      </c>
      <c r="EK81" s="17">
        <f>EJ81*VLOOKUP('Données projet'!$B$15,Paramètres!$A$1:$I$89,3,0)*VLOOKUP('Données projet'!$B$15,Paramètres!$A$1:$I$89,5,0)</f>
        <v>4.9658410716801891E-14</v>
      </c>
      <c r="EL81" s="13">
        <f t="shared" si="99"/>
        <v>8.0934058173791862E-13</v>
      </c>
      <c r="EM81" s="20">
        <f t="shared" si="73"/>
        <v>1.4960899118586383E-12</v>
      </c>
      <c r="EN81" s="59">
        <f t="shared" si="74"/>
        <v>293.33333333333479</v>
      </c>
      <c r="EO81" s="59">
        <f ca="1">AVERAGE(OFFSET($EN$3,0,0,'Données projet'!$E$15+1,1))-AVERAGE(OFFSET($H$3,0,0,'Données projet'!$E$15+1,1))</f>
        <v>255.2813753128475</v>
      </c>
      <c r="EP81" s="59">
        <f t="shared" si="100"/>
        <v>317.03005098025352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2.1802133831483954</v>
      </c>
      <c r="EW81" s="21">
        <f>EXP(-LN(2)/25)*EW80+(1-EXP(-LN(2)/25))/(LN(2)/25)*Calculateur!ER81*Calculateur!ET81*VLOOKUP('Données projet'!$B$15,Paramètres!$A$1:$I$89,3,0)*0.475*44/12</f>
        <v>4.660243729600694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6.840457112749089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1.7053025658242404E-13</v>
      </c>
      <c r="O82" s="13">
        <f>N82*VLOOKUP('Données projet'!$B$9,Paramètres!$A$1:$I$89,3,0)*VLOOKUP('Données projet'!$B$9,Paramètres!$A$1:$I$89,5,0)</f>
        <v>1.250327841262333E-13</v>
      </c>
      <c r="P82" s="13">
        <f t="shared" si="87"/>
        <v>1.8301318724634299E-12</v>
      </c>
      <c r="Q82" s="20">
        <f t="shared" si="54"/>
        <v>3.405245110226996E-12</v>
      </c>
      <c r="R82" s="59">
        <f t="shared" si="55"/>
        <v>293.33333333333672</v>
      </c>
      <c r="S82" s="59">
        <f ca="1">AVERAGE(OFFSET($R$3,0,0,'Données projet'!$E$9+1,1))-AVERAGE(OFFSET($H$3,0,0,'Données projet'!$E$9+1,1))</f>
        <v>193.60868637458515</v>
      </c>
      <c r="T82" s="59">
        <f t="shared" si="88"/>
        <v>272.97841038165217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-1.3567387213697657E-13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281.79835088425858</v>
      </c>
      <c r="AO82" s="59">
        <f t="shared" si="90"/>
        <v>345.4750813433123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312.8</v>
      </c>
      <c r="BE82" s="13">
        <f>BD82*VLOOKUP('Données projet'!$B$11,Paramètres!$A$1:$I$89,3,0)*VLOOKUP('Données projet'!$B$11,Paramètres!$A$1:$I$89,5,0)</f>
        <v>283.02144000000004</v>
      </c>
      <c r="BF82" s="13">
        <f t="shared" si="91"/>
        <v>67.605126603830598</v>
      </c>
      <c r="BG82" s="20">
        <f t="shared" si="61"/>
        <v>610.67460350167164</v>
      </c>
      <c r="BH82" s="59">
        <f t="shared" si="62"/>
        <v>904.00793683500501</v>
      </c>
      <c r="BI82" s="59">
        <f ca="1">AVERAGE(OFFSET($BH$3,0,0,'Données projet'!$E$11+1,1))-AVERAGE(OFFSET($H$3,0,0,'Données projet'!$E$11+1,1))</f>
        <v>343.6089004382095</v>
      </c>
      <c r="BJ82" s="59">
        <f t="shared" si="92"/>
        <v>278.21741231699929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5.6843418860808015E-14</v>
      </c>
      <c r="BZ82" s="13">
        <f>BY82*VLOOKUP('Données projet'!$B$12,Paramètres!$A$1:$I$89,3,0)*VLOOKUP('Données projet'!$B$12,Paramètres!$A$1:$I$89,5,0)</f>
        <v>4.4337866711430253E-14</v>
      </c>
      <c r="CA82" s="13">
        <f t="shared" si="93"/>
        <v>7.3222115536967035E-13</v>
      </c>
      <c r="CB82" s="20">
        <f t="shared" si="64"/>
        <v>1.3525069634579169E-12</v>
      </c>
      <c r="CC82" s="59">
        <f t="shared" si="65"/>
        <v>293.33333333333468</v>
      </c>
      <c r="CD82" s="59">
        <f ca="1">AVERAGE(OFFSET($CC$3,0,0,'Données projet'!$E$12+1,1))-AVERAGE(OFFSET($H$3,0,0,'Données projet'!$E$12+1,1))</f>
        <v>288.82868507674738</v>
      </c>
      <c r="CE82" s="59">
        <f t="shared" si="94"/>
        <v>283.48738729114024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0.80593355327002592</v>
      </c>
      <c r="CM82" s="21">
        <f>EXP(-LN(2)/2)*CM81+(1-EXP(-LN(2)/2))/(LN(2)/2)*CG82*CJ82*VLOOKUP('Données projet'!$B$12,Paramètres!$A$1:$I$89,3,0)*0.475*44/12</f>
        <v>1.378247227334574E-7</v>
      </c>
      <c r="CN82" s="22">
        <f t="shared" si="66"/>
        <v>0.80593369109474866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-5.6843418860808015E-14</v>
      </c>
      <c r="CU82" s="17">
        <f>CT82*VLOOKUP('Données projet'!$B$13,Paramètres!$A$1:$I$89,3,0)*VLOOKUP('Données projet'!$B$13,Paramètres!$A$1:$I$89,5,0)</f>
        <v>-4.8771653382573282E-14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273.73158910361786</v>
      </c>
      <c r="CZ82" s="59">
        <f t="shared" si="96"/>
        <v>256.77417912163997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-3.4106051316484809E-13</v>
      </c>
      <c r="DP82" s="17">
        <f>DO82*VLOOKUP('Données projet'!$B$14,Paramètres!$A$1:$I$89,3,0)*VLOOKUP('Données projet'!$B$14,Paramètres!$A$1:$I$89,5,0)</f>
        <v>-1.9065282685915009E-13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534.78683721545372</v>
      </c>
      <c r="DU82" s="59">
        <f t="shared" si="98"/>
        <v>710.59298755711075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2.0709311387349887</v>
      </c>
      <c r="EB82" s="21">
        <f>EXP(-LN(2)/25)*EB81+(1-EXP(-LN(2)/25))/(LN(2)/25)*Calculateur!DW82*Calculateur!DY82*VLOOKUP('Données projet'!$B$14,Paramètres!$A$1:$I$89,3,0)*0.475*44/12</f>
        <v>6.2183077250912424</v>
      </c>
      <c r="EC82" s="21">
        <f>EXP(-LN(2)/2)*EC81+(1-EXP(-LN(2)/2))/(LN(2)/2)*DW82*DZ82*VLOOKUP('Données projet'!$B$14,Paramètres!$A$1:$I$89,3,0)*0.475*44/12</f>
        <v>4.9310413700211892E-7</v>
      </c>
      <c r="ED82" s="22">
        <f t="shared" si="72"/>
        <v>8.2892393569303682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5.6843418860808015E-14</v>
      </c>
      <c r="EK82" s="17">
        <f>EJ82*VLOOKUP('Données projet'!$B$15,Paramètres!$A$1:$I$89,3,0)*VLOOKUP('Données projet'!$B$15,Paramètres!$A$1:$I$89,5,0)</f>
        <v>4.9658410716801891E-14</v>
      </c>
      <c r="EL82" s="13">
        <f t="shared" si="99"/>
        <v>8.0934058173791862E-13</v>
      </c>
      <c r="EM82" s="20">
        <f t="shared" si="73"/>
        <v>1.4960899118586383E-12</v>
      </c>
      <c r="EN82" s="59">
        <f t="shared" si="74"/>
        <v>293.33333333333479</v>
      </c>
      <c r="EO82" s="59">
        <f ca="1">AVERAGE(OFFSET($EN$3,0,0,'Données projet'!$E$15+1,1))-AVERAGE(OFFSET($H$3,0,0,'Données projet'!$E$15+1,1))</f>
        <v>255.2813753128475</v>
      </c>
      <c r="EP82" s="59">
        <f t="shared" si="100"/>
        <v>317.03005098025352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2.1374607285037124</v>
      </c>
      <c r="EW82" s="21">
        <f>EXP(-LN(2)/25)*EW81+(1-EXP(-LN(2)/25))/(LN(2)/25)*Calculateur!ER82*Calculateur!ET82*VLOOKUP('Données projet'!$B$15,Paramètres!$A$1:$I$89,3,0)*0.475*44/12</f>
        <v>4.5328091197431961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6.6702698482469085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1.7053025658242404E-13</v>
      </c>
      <c r="O83" s="13">
        <f>N83*VLOOKUP('Données projet'!$B$9,Paramètres!$A$1:$I$89,3,0)*VLOOKUP('Données projet'!$B$9,Paramètres!$A$1:$I$89,5,0)</f>
        <v>1.250327841262333E-13</v>
      </c>
      <c r="P83" s="13">
        <f t="shared" si="87"/>
        <v>1.8301318724634299E-12</v>
      </c>
      <c r="Q83" s="20">
        <f t="shared" si="54"/>
        <v>3.405245110226996E-12</v>
      </c>
      <c r="R83" s="59">
        <f t="shared" si="55"/>
        <v>293.33333333333672</v>
      </c>
      <c r="S83" s="59">
        <f ca="1">AVERAGE(OFFSET($R$3,0,0,'Données projet'!$E$9+1,1))-AVERAGE(OFFSET($H$3,0,0,'Données projet'!$E$9+1,1))</f>
        <v>193.60868637458515</v>
      </c>
      <c r="T83" s="59">
        <f t="shared" si="88"/>
        <v>272.97841038165217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-1.3567387213697657E-13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281.79835088425858</v>
      </c>
      <c r="AO83" s="59">
        <f t="shared" si="90"/>
        <v>345.4750813433123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320</v>
      </c>
      <c r="BE83" s="13">
        <f>BD83*VLOOKUP('Données projet'!$B$11,Paramètres!$A$1:$I$89,3,0)*VLOOKUP('Données projet'!$B$11,Paramètres!$A$1:$I$89,5,0)</f>
        <v>289.536</v>
      </c>
      <c r="BF83" s="13">
        <f t="shared" si="91"/>
        <v>68.97829509904436</v>
      </c>
      <c r="BG83" s="20">
        <f t="shared" si="61"/>
        <v>624.41239729750225</v>
      </c>
      <c r="BH83" s="59">
        <f t="shared" si="62"/>
        <v>917.74573063083562</v>
      </c>
      <c r="BI83" s="59">
        <f ca="1">AVERAGE(OFFSET($BH$3,0,0,'Données projet'!$E$11+1,1))-AVERAGE(OFFSET($H$3,0,0,'Données projet'!$E$11+1,1))</f>
        <v>343.6089004382095</v>
      </c>
      <c r="BJ83" s="59">
        <f t="shared" si="92"/>
        <v>278.21741231699929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320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5.6843418860808015E-14</v>
      </c>
      <c r="BZ83" s="13">
        <f>BY83*VLOOKUP('Données projet'!$B$12,Paramètres!$A$1:$I$89,3,0)*VLOOKUP('Données projet'!$B$12,Paramètres!$A$1:$I$89,5,0)</f>
        <v>4.4337866711430253E-14</v>
      </c>
      <c r="CA83" s="13">
        <f t="shared" si="93"/>
        <v>7.3222115536967035E-13</v>
      </c>
      <c r="CB83" s="20">
        <f t="shared" si="64"/>
        <v>1.3525069634579169E-12</v>
      </c>
      <c r="CC83" s="59">
        <f t="shared" si="65"/>
        <v>293.33333333333468</v>
      </c>
      <c r="CD83" s="59">
        <f ca="1">AVERAGE(OFFSET($CC$3,0,0,'Données projet'!$E$12+1,1))-AVERAGE(OFFSET($H$3,0,0,'Données projet'!$E$12+1,1))</f>
        <v>288.82868507674738</v>
      </c>
      <c r="CE83" s="59">
        <f t="shared" si="94"/>
        <v>283.48738729114024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0.78389525787365344</v>
      </c>
      <c r="CM83" s="21">
        <f>EXP(-LN(2)/2)*CM82+(1-EXP(-LN(2)/2))/(LN(2)/2)*CG83*CJ83*VLOOKUP('Données projet'!$B$12,Paramètres!$A$1:$I$89,3,0)*0.475*44/12</f>
        <v>9.7456796059983444E-8</v>
      </c>
      <c r="CN83" s="22">
        <f t="shared" si="66"/>
        <v>0.78389535533044952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-5.6843418860808015E-14</v>
      </c>
      <c r="CU83" s="17">
        <f>CT83*VLOOKUP('Données projet'!$B$13,Paramètres!$A$1:$I$89,3,0)*VLOOKUP('Données projet'!$B$13,Paramètres!$A$1:$I$89,5,0)</f>
        <v>-4.8771653382573282E-14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273.73158910361786</v>
      </c>
      <c r="CZ83" s="59">
        <f t="shared" si="96"/>
        <v>256.77417912163997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-3.4106051316484809E-13</v>
      </c>
      <c r="DP83" s="17">
        <f>DO83*VLOOKUP('Données projet'!$B$14,Paramètres!$A$1:$I$89,3,0)*VLOOKUP('Données projet'!$B$14,Paramètres!$A$1:$I$89,5,0)</f>
        <v>-1.9065282685915009E-13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534.78683721545372</v>
      </c>
      <c r="DU83" s="59">
        <f t="shared" si="98"/>
        <v>710.59298755711075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2.030321442247665</v>
      </c>
      <c r="EB83" s="21">
        <f>EXP(-LN(2)/25)*EB82+(1-EXP(-LN(2)/25))/(LN(2)/25)*Calculateur!DW83*Calculateur!DY83*VLOOKUP('Données projet'!$B$14,Paramètres!$A$1:$I$89,3,0)*0.475*44/12</f>
        <v>6.0482677733420314</v>
      </c>
      <c r="EC83" s="21">
        <f>EXP(-LN(2)/2)*EC82+(1-EXP(-LN(2)/2))/(LN(2)/2)*DW83*DZ83*VLOOKUP('Données projet'!$B$14,Paramètres!$A$1:$I$89,3,0)*0.475*44/12</f>
        <v>3.4867727910533866E-7</v>
      </c>
      <c r="ED83" s="22">
        <f t="shared" si="72"/>
        <v>8.0785895642669754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5.6843418860808015E-14</v>
      </c>
      <c r="EK83" s="17">
        <f>EJ83*VLOOKUP('Données projet'!$B$15,Paramètres!$A$1:$I$89,3,0)*VLOOKUP('Données projet'!$B$15,Paramètres!$A$1:$I$89,5,0)</f>
        <v>4.9658410716801891E-14</v>
      </c>
      <c r="EL83" s="13">
        <f t="shared" si="99"/>
        <v>8.0934058173791862E-13</v>
      </c>
      <c r="EM83" s="20">
        <f t="shared" si="73"/>
        <v>1.4960899118586383E-12</v>
      </c>
      <c r="EN83" s="59">
        <f t="shared" si="74"/>
        <v>293.33333333333479</v>
      </c>
      <c r="EO83" s="59">
        <f ca="1">AVERAGE(OFFSET($EN$3,0,0,'Données projet'!$E$15+1,1))-AVERAGE(OFFSET($H$3,0,0,'Données projet'!$E$15+1,1))</f>
        <v>255.2813753128475</v>
      </c>
      <c r="EP83" s="59">
        <f t="shared" si="100"/>
        <v>317.03005098025352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2.095546427340067</v>
      </c>
      <c r="EW83" s="21">
        <f>EXP(-LN(2)/25)*EW82+(1-EXP(-LN(2)/25))/(LN(2)/25)*Calculateur!ER83*Calculateur!ET83*VLOOKUP('Données projet'!$B$15,Paramètres!$A$1:$I$89,3,0)*0.475*44/12</f>
        <v>4.408859215993747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6.504405643333814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1.7053025658242404E-13</v>
      </c>
      <c r="O84" s="13">
        <f>N84*VLOOKUP('Données projet'!$B$9,Paramètres!$A$1:$I$89,3,0)*VLOOKUP('Données projet'!$B$9,Paramètres!$A$1:$I$89,5,0)</f>
        <v>1.250327841262333E-13</v>
      </c>
      <c r="P84" s="13">
        <f t="shared" si="87"/>
        <v>1.8301318724634299E-12</v>
      </c>
      <c r="Q84" s="20">
        <f t="shared" si="54"/>
        <v>3.405245110226996E-12</v>
      </c>
      <c r="R84" s="59">
        <f t="shared" si="55"/>
        <v>293.33333333333672</v>
      </c>
      <c r="S84" s="59">
        <f ca="1">AVERAGE(OFFSET($R$3,0,0,'Données projet'!$E$9+1,1))-AVERAGE(OFFSET($H$3,0,0,'Données projet'!$E$9+1,1))</f>
        <v>193.60868637458515</v>
      </c>
      <c r="T84" s="59">
        <f t="shared" si="88"/>
        <v>272.97841038165217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-1.3567387213697657E-13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281.79835088425858</v>
      </c>
      <c r="AO84" s="59">
        <f t="shared" si="90"/>
        <v>345.4750813433123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343.6089004382095</v>
      </c>
      <c r="BJ84" s="59">
        <f t="shared" si="92"/>
        <v>278.21741231699929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4.4337866711430253E-14</v>
      </c>
      <c r="CA84" s="13">
        <f t="shared" si="93"/>
        <v>7.3222115536967035E-13</v>
      </c>
      <c r="CB84" s="20">
        <f t="shared" si="64"/>
        <v>1.3525069634579169E-12</v>
      </c>
      <c r="CC84" s="59">
        <f t="shared" si="65"/>
        <v>293.33333333333468</v>
      </c>
      <c r="CD84" s="59">
        <f ca="1">AVERAGE(OFFSET($CC$3,0,0,'Données projet'!$E$12+1,1))-AVERAGE(OFFSET($H$3,0,0,'Données projet'!$E$12+1,1))</f>
        <v>288.82868507674738</v>
      </c>
      <c r="CE84" s="59">
        <f t="shared" si="94"/>
        <v>283.48738729114024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0.76245960082383835</v>
      </c>
      <c r="CM84" s="21">
        <f>EXP(-LN(2)/2)*CM83+(1-EXP(-LN(2)/2))/(LN(2)/2)*CG84*CJ84*VLOOKUP('Données projet'!$B$12,Paramètres!$A$1:$I$89,3,0)*0.475*44/12</f>
        <v>6.8912361366728699E-8</v>
      </c>
      <c r="CN84" s="22">
        <f t="shared" si="66"/>
        <v>0.76245966973619972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-5.6843418860808015E-14</v>
      </c>
      <c r="CU84" s="17">
        <f>CT84*VLOOKUP('Données projet'!$B$13,Paramètres!$A$1:$I$89,3,0)*VLOOKUP('Données projet'!$B$13,Paramètres!$A$1:$I$89,5,0)</f>
        <v>-4.8771653382573282E-14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273.73158910361786</v>
      </c>
      <c r="CZ84" s="59">
        <f t="shared" si="96"/>
        <v>256.77417912163997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-3.4106051316484809E-13</v>
      </c>
      <c r="DP84" s="17">
        <f>DO84*VLOOKUP('Données projet'!$B$14,Paramètres!$A$1:$I$89,3,0)*VLOOKUP('Données projet'!$B$14,Paramètres!$A$1:$I$89,5,0)</f>
        <v>-1.9065282685915009E-13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534.78683721545372</v>
      </c>
      <c r="DU84" s="59">
        <f t="shared" si="98"/>
        <v>710.59298755711075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1.9905080771389887</v>
      </c>
      <c r="EB84" s="21">
        <f>EXP(-LN(2)/25)*EB83+(1-EXP(-LN(2)/25))/(LN(2)/25)*Calculateur!DW84*Calculateur!DY84*VLOOKUP('Données projet'!$B$14,Paramètres!$A$1:$I$89,3,0)*0.475*44/12</f>
        <v>5.8828775730154153</v>
      </c>
      <c r="EC84" s="21">
        <f>EXP(-LN(2)/2)*EC83+(1-EXP(-LN(2)/2))/(LN(2)/2)*DW84*DZ84*VLOOKUP('Données projet'!$B$14,Paramètres!$A$1:$I$89,3,0)*0.475*44/12</f>
        <v>2.4655206850105946E-7</v>
      </c>
      <c r="ED84" s="22">
        <f t="shared" si="72"/>
        <v>7.8733858967064725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5.6843418860808015E-14</v>
      </c>
      <c r="EK84" s="17">
        <f>EJ84*VLOOKUP('Données projet'!$B$15,Paramètres!$A$1:$I$89,3,0)*VLOOKUP('Données projet'!$B$15,Paramètres!$A$1:$I$89,5,0)</f>
        <v>4.9658410716801891E-14</v>
      </c>
      <c r="EL84" s="13">
        <f t="shared" si="99"/>
        <v>8.0934058173791862E-13</v>
      </c>
      <c r="EM84" s="20">
        <f t="shared" si="73"/>
        <v>1.4960899118586383E-12</v>
      </c>
      <c r="EN84" s="59">
        <f t="shared" si="74"/>
        <v>293.33333333333479</v>
      </c>
      <c r="EO84" s="59">
        <f ca="1">AVERAGE(OFFSET($EN$3,0,0,'Données projet'!$E$15+1,1))-AVERAGE(OFFSET($H$3,0,0,'Données projet'!$E$15+1,1))</f>
        <v>255.2813753128475</v>
      </c>
      <c r="EP84" s="59">
        <f t="shared" si="100"/>
        <v>317.03005098025352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2.0544540400570415</v>
      </c>
      <c r="EW84" s="21">
        <f>EXP(-LN(2)/25)*EW83+(1-EXP(-LN(2)/25))/(LN(2)/25)*Calculateur!ER84*Calculateur!ET84*VLOOKUP('Données projet'!$B$15,Paramètres!$A$1:$I$89,3,0)*0.475*44/12</f>
        <v>4.2882987288805685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6.3427527689376095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1.7053025658242404E-13</v>
      </c>
      <c r="O85" s="13">
        <f>N85*VLOOKUP('Données projet'!$B$9,Paramètres!$A$1:$I$89,3,0)*VLOOKUP('Données projet'!$B$9,Paramètres!$A$1:$I$89,5,0)</f>
        <v>1.250327841262333E-13</v>
      </c>
      <c r="P85" s="13">
        <f t="shared" si="87"/>
        <v>1.8301318724634299E-12</v>
      </c>
      <c r="Q85" s="20">
        <f t="shared" si="54"/>
        <v>3.405245110226996E-12</v>
      </c>
      <c r="R85" s="59">
        <f t="shared" si="55"/>
        <v>293.33333333333672</v>
      </c>
      <c r="S85" s="59">
        <f ca="1">AVERAGE(OFFSET($R$3,0,0,'Données projet'!$E$9+1,1))-AVERAGE(OFFSET($H$3,0,0,'Données projet'!$E$9+1,1))</f>
        <v>193.60868637458515</v>
      </c>
      <c r="T85" s="59">
        <f t="shared" si="88"/>
        <v>272.97841038165217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-1.3567387213697657E-13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281.79835088425858</v>
      </c>
      <c r="AO85" s="59">
        <f t="shared" si="90"/>
        <v>345.4750813433123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343.6089004382095</v>
      </c>
      <c r="BJ85" s="59">
        <f t="shared" si="92"/>
        <v>278.21741231699929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4.4337866711430253E-14</v>
      </c>
      <c r="CA85" s="13">
        <f t="shared" si="93"/>
        <v>7.3222115536967035E-13</v>
      </c>
      <c r="CB85" s="20">
        <f t="shared" si="64"/>
        <v>1.3525069634579169E-12</v>
      </c>
      <c r="CC85" s="59">
        <f t="shared" si="65"/>
        <v>293.33333333333468</v>
      </c>
      <c r="CD85" s="59">
        <f ca="1">AVERAGE(OFFSET($CC$3,0,0,'Données projet'!$E$12+1,1))-AVERAGE(OFFSET($H$3,0,0,'Données projet'!$E$12+1,1))</f>
        <v>288.82868507674738</v>
      </c>
      <c r="CE85" s="59">
        <f t="shared" si="94"/>
        <v>283.48738729114024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0.74161010294330265</v>
      </c>
      <c r="CM85" s="21">
        <f>EXP(-LN(2)/2)*CM84+(1-EXP(-LN(2)/2))/(LN(2)/2)*CG85*CJ85*VLOOKUP('Données projet'!$B$12,Paramètres!$A$1:$I$89,3,0)*0.475*44/12</f>
        <v>4.8728398029991722E-8</v>
      </c>
      <c r="CN85" s="22">
        <f t="shared" si="66"/>
        <v>0.74161015167170063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-5.6843418860808015E-14</v>
      </c>
      <c r="CU85" s="17">
        <f>CT85*VLOOKUP('Données projet'!$B$13,Paramètres!$A$1:$I$89,3,0)*VLOOKUP('Données projet'!$B$13,Paramètres!$A$1:$I$89,5,0)</f>
        <v>-4.8771653382573282E-14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273.73158910361786</v>
      </c>
      <c r="CZ85" s="59">
        <f t="shared" si="96"/>
        <v>256.77417912163997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-3.4106051316484809E-13</v>
      </c>
      <c r="DP85" s="17">
        <f>DO85*VLOOKUP('Données projet'!$B$14,Paramètres!$A$1:$I$89,3,0)*VLOOKUP('Données projet'!$B$14,Paramètres!$A$1:$I$89,5,0)</f>
        <v>-1.9065282685915009E-13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534.78683721545372</v>
      </c>
      <c r="DU85" s="59">
        <f t="shared" si="98"/>
        <v>710.59298755711075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1.9514754278363386</v>
      </c>
      <c r="EB85" s="21">
        <f>EXP(-LN(2)/25)*EB84+(1-EXP(-LN(2)/25))/(LN(2)/25)*Calculateur!DW85*Calculateur!DY85*VLOOKUP('Données projet'!$B$14,Paramètres!$A$1:$I$89,3,0)*0.475*44/12</f>
        <v>5.7220099764142223</v>
      </c>
      <c r="EC85" s="21">
        <f>EXP(-LN(2)/2)*EC84+(1-EXP(-LN(2)/2))/(LN(2)/2)*DW85*DZ85*VLOOKUP('Données projet'!$B$14,Paramètres!$A$1:$I$89,3,0)*0.475*44/12</f>
        <v>1.7433863955266933E-7</v>
      </c>
      <c r="ED85" s="22">
        <f t="shared" si="72"/>
        <v>7.6734855785892009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5.6843418860808015E-14</v>
      </c>
      <c r="EK85" s="17">
        <f>EJ85*VLOOKUP('Données projet'!$B$15,Paramètres!$A$1:$I$89,3,0)*VLOOKUP('Données projet'!$B$15,Paramètres!$A$1:$I$89,5,0)</f>
        <v>4.9658410716801891E-14</v>
      </c>
      <c r="EL85" s="13">
        <f t="shared" si="99"/>
        <v>8.0934058173791862E-13</v>
      </c>
      <c r="EM85" s="20">
        <f t="shared" si="73"/>
        <v>1.4960899118586383E-12</v>
      </c>
      <c r="EN85" s="59">
        <f t="shared" si="74"/>
        <v>293.33333333333479</v>
      </c>
      <c r="EO85" s="59">
        <f ca="1">AVERAGE(OFFSET($EN$3,0,0,'Données projet'!$E$15+1,1))-AVERAGE(OFFSET($H$3,0,0,'Données projet'!$E$15+1,1))</f>
        <v>255.2813753128475</v>
      </c>
      <c r="EP85" s="59">
        <f t="shared" si="100"/>
        <v>317.03005098025352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2.0141674494247548</v>
      </c>
      <c r="EW85" s="21">
        <f>EXP(-LN(2)/25)*EW84+(1-EXP(-LN(2)/25))/(LN(2)/25)*Calculateur!ER85*Calculateur!ET85*VLOOKUP('Données projet'!$B$15,Paramètres!$A$1:$I$89,3,0)*0.475*44/12</f>
        <v>4.1710349746275002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6.185202424052255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1.7053025658242404E-13</v>
      </c>
      <c r="O86" s="13">
        <f>N86*VLOOKUP('Données projet'!$B$9,Paramètres!$A$1:$I$89,3,0)*VLOOKUP('Données projet'!$B$9,Paramètres!$A$1:$I$89,5,0)</f>
        <v>1.250327841262333E-13</v>
      </c>
      <c r="P86" s="13">
        <f t="shared" si="87"/>
        <v>1.8301318724634299E-12</v>
      </c>
      <c r="Q86" s="20">
        <f t="shared" si="54"/>
        <v>3.405245110226996E-12</v>
      </c>
      <c r="R86" s="59">
        <f t="shared" si="55"/>
        <v>293.33333333333672</v>
      </c>
      <c r="S86" s="59">
        <f ca="1">AVERAGE(OFFSET($R$3,0,0,'Données projet'!$E$9+1,1))-AVERAGE(OFFSET($H$3,0,0,'Données projet'!$E$9+1,1))</f>
        <v>193.60868637458515</v>
      </c>
      <c r="T86" s="59">
        <f t="shared" si="88"/>
        <v>272.97841038165217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-1.3567387213697657E-13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281.79835088425858</v>
      </c>
      <c r="AO86" s="59">
        <f t="shared" si="90"/>
        <v>345.4750813433123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343.6089004382095</v>
      </c>
      <c r="BJ86" s="59">
        <f t="shared" si="92"/>
        <v>278.21741231699929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4.4337866711430253E-14</v>
      </c>
      <c r="CA86" s="13">
        <f t="shared" si="93"/>
        <v>7.3222115536967035E-13</v>
      </c>
      <c r="CB86" s="20">
        <f t="shared" si="64"/>
        <v>1.3525069634579169E-12</v>
      </c>
      <c r="CC86" s="59">
        <f t="shared" si="65"/>
        <v>293.33333333333468</v>
      </c>
      <c r="CD86" s="59">
        <f ca="1">AVERAGE(OFFSET($CC$3,0,0,'Données projet'!$E$12+1,1))-AVERAGE(OFFSET($H$3,0,0,'Données projet'!$E$12+1,1))</f>
        <v>288.82868507674738</v>
      </c>
      <c r="CE86" s="59">
        <f t="shared" si="94"/>
        <v>283.48738729114024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0.72133073567873773</v>
      </c>
      <c r="CM86" s="21">
        <f>EXP(-LN(2)/2)*CM85+(1-EXP(-LN(2)/2))/(LN(2)/2)*CG86*CJ86*VLOOKUP('Données projet'!$B$12,Paramètres!$A$1:$I$89,3,0)*0.475*44/12</f>
        <v>3.445618068336435E-8</v>
      </c>
      <c r="CN86" s="22">
        <f t="shared" si="66"/>
        <v>0.72133077013491842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-5.6843418860808015E-14</v>
      </c>
      <c r="CU86" s="17">
        <f>CT86*VLOOKUP('Données projet'!$B$13,Paramètres!$A$1:$I$89,3,0)*VLOOKUP('Données projet'!$B$13,Paramètres!$A$1:$I$89,5,0)</f>
        <v>-4.8771653382573282E-14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273.73158910361786</v>
      </c>
      <c r="CZ86" s="59">
        <f t="shared" si="96"/>
        <v>256.77417912163997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-3.4106051316484809E-13</v>
      </c>
      <c r="DP86" s="17">
        <f>DO86*VLOOKUP('Données projet'!$B$14,Paramètres!$A$1:$I$89,3,0)*VLOOKUP('Données projet'!$B$14,Paramètres!$A$1:$I$89,5,0)</f>
        <v>-1.9065282685915009E-13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534.78683721545372</v>
      </c>
      <c r="DU86" s="59">
        <f t="shared" si="98"/>
        <v>710.59298755711075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1.9132081849789484</v>
      </c>
      <c r="EB86" s="21">
        <f>EXP(-LN(2)/25)*EB85+(1-EXP(-LN(2)/25))/(LN(2)/25)*Calculateur!DW86*Calculateur!DY86*VLOOKUP('Données projet'!$B$14,Paramètres!$A$1:$I$89,3,0)*0.475*44/12</f>
        <v>5.5655413127017486</v>
      </c>
      <c r="EC86" s="21">
        <f>EXP(-LN(2)/2)*EC85+(1-EXP(-LN(2)/2))/(LN(2)/2)*DW86*DZ86*VLOOKUP('Données projet'!$B$14,Paramètres!$A$1:$I$89,3,0)*0.475*44/12</f>
        <v>1.2327603425052973E-7</v>
      </c>
      <c r="ED86" s="22">
        <f t="shared" si="72"/>
        <v>7.478749620956731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5.6843418860808015E-14</v>
      </c>
      <c r="EK86" s="17">
        <f>EJ86*VLOOKUP('Données projet'!$B$15,Paramètres!$A$1:$I$89,3,0)*VLOOKUP('Données projet'!$B$15,Paramètres!$A$1:$I$89,5,0)</f>
        <v>4.9658410716801891E-14</v>
      </c>
      <c r="EL86" s="13">
        <f t="shared" si="99"/>
        <v>8.0934058173791862E-13</v>
      </c>
      <c r="EM86" s="20">
        <f t="shared" si="73"/>
        <v>1.4960899118586383E-12</v>
      </c>
      <c r="EN86" s="59">
        <f t="shared" si="74"/>
        <v>293.33333333333479</v>
      </c>
      <c r="EO86" s="59">
        <f ca="1">AVERAGE(OFFSET($EN$3,0,0,'Données projet'!$E$15+1,1))-AVERAGE(OFFSET($H$3,0,0,'Données projet'!$E$15+1,1))</f>
        <v>255.2813753128475</v>
      </c>
      <c r="EP86" s="59">
        <f t="shared" si="100"/>
        <v>317.03005098025352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1.9746708542623732</v>
      </c>
      <c r="EW86" s="21">
        <f>EXP(-LN(2)/25)*EW85+(1-EXP(-LN(2)/25))/(LN(2)/25)*Calculateur!ER86*Calculateur!ET86*VLOOKUP('Données projet'!$B$15,Paramètres!$A$1:$I$89,3,0)*0.475*44/12</f>
        <v>4.0569778039011153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6.0316486581634887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1.7053025658242404E-13</v>
      </c>
      <c r="O87" s="13">
        <f>N87*VLOOKUP('Données projet'!$B$9,Paramètres!$A$1:$I$89,3,0)*VLOOKUP('Données projet'!$B$9,Paramètres!$A$1:$I$89,5,0)</f>
        <v>1.250327841262333E-13</v>
      </c>
      <c r="P87" s="13">
        <f t="shared" si="87"/>
        <v>1.8301318724634299E-12</v>
      </c>
      <c r="Q87" s="20">
        <f t="shared" si="54"/>
        <v>3.405245110226996E-12</v>
      </c>
      <c r="R87" s="59">
        <f t="shared" si="55"/>
        <v>293.33333333333672</v>
      </c>
      <c r="S87" s="59">
        <f ca="1">AVERAGE(OFFSET($R$3,0,0,'Données projet'!$E$9+1,1))-AVERAGE(OFFSET($H$3,0,0,'Données projet'!$E$9+1,1))</f>
        <v>193.60868637458515</v>
      </c>
      <c r="T87" s="59">
        <f t="shared" si="88"/>
        <v>272.97841038165217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-1.3567387213697657E-13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281.79835088425858</v>
      </c>
      <c r="AO87" s="59">
        <f t="shared" si="90"/>
        <v>345.4750813433123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343.6089004382095</v>
      </c>
      <c r="BJ87" s="59">
        <f t="shared" si="92"/>
        <v>278.21741231699929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4.4337866711430253E-14</v>
      </c>
      <c r="CA87" s="13">
        <f t="shared" si="93"/>
        <v>7.3222115536967035E-13</v>
      </c>
      <c r="CB87" s="20">
        <f t="shared" si="64"/>
        <v>1.3525069634579169E-12</v>
      </c>
      <c r="CC87" s="59">
        <f t="shared" si="65"/>
        <v>293.33333333333468</v>
      </c>
      <c r="CD87" s="59">
        <f ca="1">AVERAGE(OFFSET($CC$3,0,0,'Données projet'!$E$12+1,1))-AVERAGE(OFFSET($H$3,0,0,'Données projet'!$E$12+1,1))</f>
        <v>288.82868507674738</v>
      </c>
      <c r="CE87" s="59">
        <f t="shared" si="94"/>
        <v>283.48738729114024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0.70160590877846785</v>
      </c>
      <c r="CM87" s="21">
        <f>EXP(-LN(2)/2)*CM86+(1-EXP(-LN(2)/2))/(LN(2)/2)*CG87*CJ87*VLOOKUP('Données projet'!$B$12,Paramètres!$A$1:$I$89,3,0)*0.475*44/12</f>
        <v>2.4364199014995861E-8</v>
      </c>
      <c r="CN87" s="22">
        <f t="shared" si="66"/>
        <v>0.70160593314266684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-5.6843418860808015E-14</v>
      </c>
      <c r="CU87" s="17">
        <f>CT87*VLOOKUP('Données projet'!$B$13,Paramètres!$A$1:$I$89,3,0)*VLOOKUP('Données projet'!$B$13,Paramètres!$A$1:$I$89,5,0)</f>
        <v>-4.8771653382573282E-14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273.73158910361786</v>
      </c>
      <c r="CZ87" s="59">
        <f t="shared" si="96"/>
        <v>256.77417912163997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-3.4106051316484809E-13</v>
      </c>
      <c r="DP87" s="17">
        <f>DO87*VLOOKUP('Données projet'!$B$14,Paramètres!$A$1:$I$89,3,0)*VLOOKUP('Données projet'!$B$14,Paramètres!$A$1:$I$89,5,0)</f>
        <v>-1.9065282685915009E-13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534.78683721545372</v>
      </c>
      <c r="DU87" s="59">
        <f t="shared" si="98"/>
        <v>710.59298755711075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1.8756913394132781</v>
      </c>
      <c r="EB87" s="21">
        <f>EXP(-LN(2)/25)*EB86+(1-EXP(-LN(2)/25))/(LN(2)/25)*Calculateur!DW87*Calculateur!DY87*VLOOKUP('Données projet'!$B$14,Paramètres!$A$1:$I$89,3,0)*0.475*44/12</f>
        <v>5.4133512928268219</v>
      </c>
      <c r="EC87" s="21">
        <f>EXP(-LN(2)/2)*EC86+(1-EXP(-LN(2)/2))/(LN(2)/2)*DW87*DZ87*VLOOKUP('Données projet'!$B$14,Paramètres!$A$1:$I$89,3,0)*0.475*44/12</f>
        <v>8.7169319776334664E-8</v>
      </c>
      <c r="ED87" s="22">
        <f t="shared" si="72"/>
        <v>7.2890427194094203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5.6843418860808015E-14</v>
      </c>
      <c r="EK87" s="17">
        <f>EJ87*VLOOKUP('Données projet'!$B$15,Paramètres!$A$1:$I$89,3,0)*VLOOKUP('Données projet'!$B$15,Paramètres!$A$1:$I$89,5,0)</f>
        <v>4.9658410716801891E-14</v>
      </c>
      <c r="EL87" s="13">
        <f t="shared" si="99"/>
        <v>8.0934058173791862E-13</v>
      </c>
      <c r="EM87" s="20">
        <f t="shared" si="73"/>
        <v>1.4960899118586383E-12</v>
      </c>
      <c r="EN87" s="59">
        <f t="shared" si="74"/>
        <v>293.33333333333479</v>
      </c>
      <c r="EO87" s="59">
        <f ca="1">AVERAGE(OFFSET($EN$3,0,0,'Données projet'!$E$15+1,1))-AVERAGE(OFFSET($H$3,0,0,'Données projet'!$E$15+1,1))</f>
        <v>255.2813753128475</v>
      </c>
      <c r="EP87" s="59">
        <f t="shared" si="100"/>
        <v>317.03005098025352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1.9359487632405816</v>
      </c>
      <c r="EW87" s="21">
        <f>EXP(-LN(2)/25)*EW86+(1-EXP(-LN(2)/25))/(LN(2)/25)*Calculateur!ER87*Calculateur!ET87*VLOOKUP('Données projet'!$B$15,Paramètres!$A$1:$I$89,3,0)*0.475*44/12</f>
        <v>3.9460395325062487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5.8819882957468304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1.7053025658242404E-13</v>
      </c>
      <c r="O88" s="13">
        <f>N88*VLOOKUP('Données projet'!$B$9,Paramètres!$A$1:$I$89,3,0)*VLOOKUP('Données projet'!$B$9,Paramètres!$A$1:$I$89,5,0)</f>
        <v>1.250327841262333E-13</v>
      </c>
      <c r="P88" s="13">
        <f t="shared" si="87"/>
        <v>1.8301318724634299E-12</v>
      </c>
      <c r="Q88" s="20">
        <f t="shared" si="54"/>
        <v>3.405245110226996E-12</v>
      </c>
      <c r="R88" s="59">
        <f t="shared" si="55"/>
        <v>293.33333333333672</v>
      </c>
      <c r="S88" s="59">
        <f ca="1">AVERAGE(OFFSET($R$3,0,0,'Données projet'!$E$9+1,1))-AVERAGE(OFFSET($H$3,0,0,'Données projet'!$E$9+1,1))</f>
        <v>193.60868637458515</v>
      </c>
      <c r="T88" s="59">
        <f t="shared" si="88"/>
        <v>272.97841038165217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-1.3567387213697657E-13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281.79835088425858</v>
      </c>
      <c r="AO88" s="59">
        <f t="shared" si="90"/>
        <v>345.4750813433123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343.6089004382095</v>
      </c>
      <c r="BJ88" s="59">
        <f t="shared" si="92"/>
        <v>278.21741231699929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4.4337866711430253E-14</v>
      </c>
      <c r="CA88" s="13">
        <f t="shared" si="93"/>
        <v>7.3222115536967035E-13</v>
      </c>
      <c r="CB88" s="20">
        <f t="shared" si="64"/>
        <v>1.3525069634579169E-12</v>
      </c>
      <c r="CC88" s="59">
        <f t="shared" si="65"/>
        <v>293.33333333333468</v>
      </c>
      <c r="CD88" s="59">
        <f ca="1">AVERAGE(OFFSET($CC$3,0,0,'Données projet'!$E$12+1,1))-AVERAGE(OFFSET($H$3,0,0,'Données projet'!$E$12+1,1))</f>
        <v>288.82868507674738</v>
      </c>
      <c r="CE88" s="59">
        <f t="shared" si="94"/>
        <v>283.48738729114024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0.68242045830706943</v>
      </c>
      <c r="CM88" s="21">
        <f>EXP(-LN(2)/2)*CM87+(1-EXP(-LN(2)/2))/(LN(2)/2)*CG88*CJ88*VLOOKUP('Données projet'!$B$12,Paramètres!$A$1:$I$89,3,0)*0.475*44/12</f>
        <v>1.7228090341682175E-8</v>
      </c>
      <c r="CN88" s="22">
        <f t="shared" si="66"/>
        <v>0.68242047553515972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-5.6843418860808015E-14</v>
      </c>
      <c r="CU88" s="17">
        <f>CT88*VLOOKUP('Données projet'!$B$13,Paramètres!$A$1:$I$89,3,0)*VLOOKUP('Données projet'!$B$13,Paramètres!$A$1:$I$89,5,0)</f>
        <v>-4.8771653382573282E-14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273.73158910361786</v>
      </c>
      <c r="CZ88" s="59">
        <f t="shared" si="96"/>
        <v>256.77417912163997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-3.4106051316484809E-13</v>
      </c>
      <c r="DP88" s="17">
        <f>DO88*VLOOKUP('Données projet'!$B$14,Paramètres!$A$1:$I$89,3,0)*VLOOKUP('Données projet'!$B$14,Paramètres!$A$1:$I$89,5,0)</f>
        <v>-1.9065282685915009E-13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534.78683721545372</v>
      </c>
      <c r="DU88" s="59">
        <f t="shared" si="98"/>
        <v>710.59298755711075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1.8389101763061344</v>
      </c>
      <c r="EB88" s="21">
        <f>EXP(-LN(2)/25)*EB87+(1-EXP(-LN(2)/25))/(LN(2)/25)*Calculateur!DW88*Calculateur!DY88*VLOOKUP('Données projet'!$B$14,Paramètres!$A$1:$I$89,3,0)*0.475*44/12</f>
        <v>5.2653229170487004</v>
      </c>
      <c r="EC88" s="21">
        <f>EXP(-LN(2)/2)*EC87+(1-EXP(-LN(2)/2))/(LN(2)/2)*DW88*DZ88*VLOOKUP('Données projet'!$B$14,Paramètres!$A$1:$I$89,3,0)*0.475*44/12</f>
        <v>6.1638017125264865E-8</v>
      </c>
      <c r="ED88" s="22">
        <f t="shared" si="72"/>
        <v>7.1042331549928521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5.6843418860808015E-14</v>
      </c>
      <c r="EK88" s="17">
        <f>EJ88*VLOOKUP('Données projet'!$B$15,Paramètres!$A$1:$I$89,3,0)*VLOOKUP('Données projet'!$B$15,Paramètres!$A$1:$I$89,5,0)</f>
        <v>4.9658410716801891E-14</v>
      </c>
      <c r="EL88" s="13">
        <f t="shared" si="99"/>
        <v>8.0934058173791862E-13</v>
      </c>
      <c r="EM88" s="20">
        <f t="shared" si="73"/>
        <v>1.4960899118586383E-12</v>
      </c>
      <c r="EN88" s="59">
        <f t="shared" si="74"/>
        <v>293.33333333333479</v>
      </c>
      <c r="EO88" s="59">
        <f ca="1">AVERAGE(OFFSET($EN$3,0,0,'Données projet'!$E$15+1,1))-AVERAGE(OFFSET($H$3,0,0,'Données projet'!$E$15+1,1))</f>
        <v>255.2813753128475</v>
      </c>
      <c r="EP88" s="59">
        <f t="shared" si="100"/>
        <v>317.03005098025352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1.8979859888055839</v>
      </c>
      <c r="EW88" s="21">
        <f>EXP(-LN(2)/25)*EW87+(1-EXP(-LN(2)/25))/(LN(2)/25)*Calculateur!ER88*Calculateur!ET88*VLOOKUP('Données projet'!$B$15,Paramètres!$A$1:$I$89,3,0)*0.475*44/12</f>
        <v>3.838134873976665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5.7361208627822489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1.7053025658242404E-13</v>
      </c>
      <c r="O89" s="13">
        <f>N89*VLOOKUP('Données projet'!$B$9,Paramètres!$A$1:$I$89,3,0)*VLOOKUP('Données projet'!$B$9,Paramètres!$A$1:$I$89,5,0)</f>
        <v>1.250327841262333E-13</v>
      </c>
      <c r="P89" s="13">
        <f t="shared" si="87"/>
        <v>1.8301318724634299E-12</v>
      </c>
      <c r="Q89" s="20">
        <f t="shared" si="54"/>
        <v>3.405245110226996E-12</v>
      </c>
      <c r="R89" s="59">
        <f t="shared" si="55"/>
        <v>293.33333333333672</v>
      </c>
      <c r="S89" s="59">
        <f ca="1">AVERAGE(OFFSET($R$3,0,0,'Données projet'!$E$9+1,1))-AVERAGE(OFFSET($H$3,0,0,'Données projet'!$E$9+1,1))</f>
        <v>193.60868637458515</v>
      </c>
      <c r="T89" s="59">
        <f t="shared" si="88"/>
        <v>272.97841038165217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-1.3567387213697657E-13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281.79835088425858</v>
      </c>
      <c r="AO89" s="59">
        <f t="shared" si="90"/>
        <v>345.4750813433123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343.6089004382095</v>
      </c>
      <c r="BJ89" s="59">
        <f t="shared" si="92"/>
        <v>278.21741231699929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4.4337866711430253E-14</v>
      </c>
      <c r="CA89" s="13">
        <f t="shared" si="93"/>
        <v>7.3222115536967035E-13</v>
      </c>
      <c r="CB89" s="20">
        <f t="shared" si="64"/>
        <v>1.3525069634579169E-12</v>
      </c>
      <c r="CC89" s="59">
        <f t="shared" si="65"/>
        <v>293.33333333333468</v>
      </c>
      <c r="CD89" s="59">
        <f ca="1">AVERAGE(OFFSET($CC$3,0,0,'Données projet'!$E$12+1,1))-AVERAGE(OFFSET($H$3,0,0,'Données projet'!$E$12+1,1))</f>
        <v>288.82868507674738</v>
      </c>
      <c r="CE89" s="59">
        <f t="shared" si="94"/>
        <v>283.48738729114024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0.66375963498773038</v>
      </c>
      <c r="CM89" s="21">
        <f>EXP(-LN(2)/2)*CM88+(1-EXP(-LN(2)/2))/(LN(2)/2)*CG89*CJ89*VLOOKUP('Données projet'!$B$12,Paramètres!$A$1:$I$89,3,0)*0.475*44/12</f>
        <v>1.218209950749793E-8</v>
      </c>
      <c r="CN89" s="22">
        <f t="shared" si="66"/>
        <v>0.66375964716982994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-5.6843418860808015E-14</v>
      </c>
      <c r="CU89" s="17">
        <f>CT89*VLOOKUP('Données projet'!$B$13,Paramètres!$A$1:$I$89,3,0)*VLOOKUP('Données projet'!$B$13,Paramètres!$A$1:$I$89,5,0)</f>
        <v>-4.8771653382573282E-14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273.73158910361786</v>
      </c>
      <c r="CZ89" s="59">
        <f t="shared" si="96"/>
        <v>256.77417912163997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-3.4106051316484809E-13</v>
      </c>
      <c r="DP89" s="17">
        <f>DO89*VLOOKUP('Données projet'!$B$14,Paramètres!$A$1:$I$89,3,0)*VLOOKUP('Données projet'!$B$14,Paramètres!$A$1:$I$89,5,0)</f>
        <v>-1.9065282685915009E-13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534.78683721545372</v>
      </c>
      <c r="DU89" s="59">
        <f t="shared" si="98"/>
        <v>710.59298755711075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1.8028502693732273</v>
      </c>
      <c r="EB89" s="21">
        <f>EXP(-LN(2)/25)*EB88+(1-EXP(-LN(2)/25))/(LN(2)/25)*Calculateur!DW89*Calculateur!DY89*VLOOKUP('Données projet'!$B$14,Paramètres!$A$1:$I$89,3,0)*0.475*44/12</f>
        <v>5.1213423849907054</v>
      </c>
      <c r="EC89" s="21">
        <f>EXP(-LN(2)/2)*EC88+(1-EXP(-LN(2)/2))/(LN(2)/2)*DW89*DZ89*VLOOKUP('Données projet'!$B$14,Paramètres!$A$1:$I$89,3,0)*0.475*44/12</f>
        <v>4.3584659888167332E-8</v>
      </c>
      <c r="ED89" s="22">
        <f t="shared" si="72"/>
        <v>6.9241926979485928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5.6843418860808015E-14</v>
      </c>
      <c r="EK89" s="17">
        <f>EJ89*VLOOKUP('Données projet'!$B$15,Paramètres!$A$1:$I$89,3,0)*VLOOKUP('Données projet'!$B$15,Paramètres!$A$1:$I$89,5,0)</f>
        <v>4.9658410716801891E-14</v>
      </c>
      <c r="EL89" s="13">
        <f t="shared" si="99"/>
        <v>8.0934058173791862E-13</v>
      </c>
      <c r="EM89" s="20">
        <f t="shared" si="73"/>
        <v>1.4960899118586383E-12</v>
      </c>
      <c r="EN89" s="59">
        <f t="shared" si="74"/>
        <v>293.33333333333479</v>
      </c>
      <c r="EO89" s="59">
        <f ca="1">AVERAGE(OFFSET($EN$3,0,0,'Données projet'!$E$15+1,1))-AVERAGE(OFFSET($H$3,0,0,'Données projet'!$E$15+1,1))</f>
        <v>255.2813753128475</v>
      </c>
      <c r="EP89" s="59">
        <f t="shared" si="100"/>
        <v>317.03005098025352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1.8607676412222505</v>
      </c>
      <c r="EW89" s="21">
        <f>EXP(-LN(2)/25)*EW88+(1-EXP(-LN(2)/25))/(LN(2)/25)*Calculateur!ER89*Calculateur!ET89*VLOOKUP('Données projet'!$B$15,Paramètres!$A$1:$I$89,3,0)*0.475*44/12</f>
        <v>3.7331808740090322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5.5939485152312827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1.7053025658242404E-13</v>
      </c>
      <c r="O90" s="13">
        <f>N90*VLOOKUP('Données projet'!$B$9,Paramètres!$A$1:$I$89,3,0)*VLOOKUP('Données projet'!$B$9,Paramètres!$A$1:$I$89,5,0)</f>
        <v>1.250327841262333E-13</v>
      </c>
      <c r="P90" s="13">
        <f t="shared" si="87"/>
        <v>1.8301318724634299E-12</v>
      </c>
      <c r="Q90" s="20">
        <f t="shared" si="54"/>
        <v>3.405245110226996E-12</v>
      </c>
      <c r="R90" s="59">
        <f t="shared" si="55"/>
        <v>293.33333333333672</v>
      </c>
      <c r="S90" s="59">
        <f ca="1">AVERAGE(OFFSET($R$3,0,0,'Données projet'!$E$9+1,1))-AVERAGE(OFFSET($H$3,0,0,'Données projet'!$E$9+1,1))</f>
        <v>193.60868637458515</v>
      </c>
      <c r="T90" s="59">
        <f t="shared" si="88"/>
        <v>272.97841038165217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-1.3567387213697657E-13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281.79835088425858</v>
      </c>
      <c r="AO90" s="59">
        <f t="shared" si="90"/>
        <v>345.4750813433123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343.6089004382095</v>
      </c>
      <c r="BJ90" s="59">
        <f t="shared" si="92"/>
        <v>278.21741231699929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4.4337866711430253E-14</v>
      </c>
      <c r="CA90" s="13">
        <f t="shared" si="93"/>
        <v>7.3222115536967035E-13</v>
      </c>
      <c r="CB90" s="20">
        <f t="shared" si="64"/>
        <v>1.3525069634579169E-12</v>
      </c>
      <c r="CC90" s="59">
        <f t="shared" si="65"/>
        <v>293.33333333333468</v>
      </c>
      <c r="CD90" s="59">
        <f ca="1">AVERAGE(OFFSET($CC$3,0,0,'Données projet'!$E$12+1,1))-AVERAGE(OFFSET($H$3,0,0,'Données projet'!$E$12+1,1))</f>
        <v>288.82868507674738</v>
      </c>
      <c r="CE90" s="59">
        <f t="shared" si="94"/>
        <v>283.48738729114024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0.64560909286338874</v>
      </c>
      <c r="CM90" s="21">
        <f>EXP(-LN(2)/2)*CM89+(1-EXP(-LN(2)/2))/(LN(2)/2)*CG90*CJ90*VLOOKUP('Données projet'!$B$12,Paramètres!$A$1:$I$89,3,0)*0.475*44/12</f>
        <v>8.6140451708410874E-9</v>
      </c>
      <c r="CN90" s="22">
        <f t="shared" si="66"/>
        <v>0.64560910147743389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-5.6843418860808015E-14</v>
      </c>
      <c r="CU90" s="17">
        <f>CT90*VLOOKUP('Données projet'!$B$13,Paramètres!$A$1:$I$89,3,0)*VLOOKUP('Données projet'!$B$13,Paramètres!$A$1:$I$89,5,0)</f>
        <v>-4.8771653382573282E-14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273.73158910361786</v>
      </c>
      <c r="CZ90" s="59">
        <f t="shared" si="96"/>
        <v>256.77417912163997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-3.4106051316484809E-13</v>
      </c>
      <c r="DP90" s="17">
        <f>DO90*VLOOKUP('Données projet'!$B$14,Paramètres!$A$1:$I$89,3,0)*VLOOKUP('Données projet'!$B$14,Paramètres!$A$1:$I$89,5,0)</f>
        <v>-1.9065282685915009E-13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534.78683721545372</v>
      </c>
      <c r="DU90" s="59">
        <f t="shared" si="98"/>
        <v>710.59298755711075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1.7674974752209032</v>
      </c>
      <c r="EB90" s="21">
        <f>EXP(-LN(2)/25)*EB89+(1-EXP(-LN(2)/25))/(LN(2)/25)*Calculateur!DW90*Calculateur!DY90*VLOOKUP('Données projet'!$B$14,Paramètres!$A$1:$I$89,3,0)*0.475*44/12</f>
        <v>4.9812990081534432</v>
      </c>
      <c r="EC90" s="21">
        <f>EXP(-LN(2)/2)*EC89+(1-EXP(-LN(2)/2))/(LN(2)/2)*DW90*DZ90*VLOOKUP('Données projet'!$B$14,Paramètres!$A$1:$I$89,3,0)*0.475*44/12</f>
        <v>3.0819008562632432E-8</v>
      </c>
      <c r="ED90" s="22">
        <f t="shared" si="72"/>
        <v>6.748796514193355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5.6843418860808015E-14</v>
      </c>
      <c r="EK90" s="17">
        <f>EJ90*VLOOKUP('Données projet'!$B$15,Paramètres!$A$1:$I$89,3,0)*VLOOKUP('Données projet'!$B$15,Paramètres!$A$1:$I$89,5,0)</f>
        <v>4.9658410716801891E-14</v>
      </c>
      <c r="EL90" s="13">
        <f t="shared" si="99"/>
        <v>8.0934058173791862E-13</v>
      </c>
      <c r="EM90" s="20">
        <f t="shared" si="73"/>
        <v>1.4960899118586383E-12</v>
      </c>
      <c r="EN90" s="59">
        <f t="shared" si="74"/>
        <v>293.33333333333479</v>
      </c>
      <c r="EO90" s="59">
        <f ca="1">AVERAGE(OFFSET($EN$3,0,0,'Données projet'!$E$15+1,1))-AVERAGE(OFFSET($H$3,0,0,'Données projet'!$E$15+1,1))</f>
        <v>255.2813753128475</v>
      </c>
      <c r="EP90" s="59">
        <f t="shared" si="100"/>
        <v>317.03005098025352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1.8242791227340758</v>
      </c>
      <c r="EW90" s="21">
        <f>EXP(-LN(2)/25)*EW89+(1-EXP(-LN(2)/25))/(LN(2)/25)*Calculateur!ER90*Calculateur!ET90*VLOOKUP('Données projet'!$B$15,Paramètres!$A$1:$I$89,3,0)*0.475*44/12</f>
        <v>3.6310968466898053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5.4553759694238808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1.7053025658242404E-13</v>
      </c>
      <c r="O91" s="13">
        <f>N91*VLOOKUP('Données projet'!$B$9,Paramètres!$A$1:$I$89,3,0)*VLOOKUP('Données projet'!$B$9,Paramètres!$A$1:$I$89,5,0)</f>
        <v>1.250327841262333E-13</v>
      </c>
      <c r="P91" s="13">
        <f t="shared" si="87"/>
        <v>1.8301318724634299E-12</v>
      </c>
      <c r="Q91" s="20">
        <f t="shared" si="54"/>
        <v>3.405245110226996E-12</v>
      </c>
      <c r="R91" s="59">
        <f t="shared" si="55"/>
        <v>293.33333333333672</v>
      </c>
      <c r="S91" s="59">
        <f ca="1">AVERAGE(OFFSET($R$3,0,0,'Données projet'!$E$9+1,1))-AVERAGE(OFFSET($H$3,0,0,'Données projet'!$E$9+1,1))</f>
        <v>193.60868637458515</v>
      </c>
      <c r="T91" s="59">
        <f t="shared" si="88"/>
        <v>272.97841038165217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-1.3567387213697657E-13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281.79835088425858</v>
      </c>
      <c r="AO91" s="59">
        <f t="shared" si="90"/>
        <v>345.4750813433123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343.6089004382095</v>
      </c>
      <c r="BJ91" s="59">
        <f t="shared" si="92"/>
        <v>278.21741231699929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4.4337866711430253E-14</v>
      </c>
      <c r="CA91" s="13">
        <f t="shared" si="93"/>
        <v>7.3222115536967035E-13</v>
      </c>
      <c r="CB91" s="20">
        <f t="shared" si="64"/>
        <v>1.3525069634579169E-12</v>
      </c>
      <c r="CC91" s="59">
        <f t="shared" si="65"/>
        <v>293.33333333333468</v>
      </c>
      <c r="CD91" s="59">
        <f ca="1">AVERAGE(OFFSET($CC$3,0,0,'Données projet'!$E$12+1,1))-AVERAGE(OFFSET($H$3,0,0,'Données projet'!$E$12+1,1))</f>
        <v>288.82868507674738</v>
      </c>
      <c r="CE91" s="59">
        <f t="shared" si="94"/>
        <v>283.48738729114024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0.62795487826793273</v>
      </c>
      <c r="CM91" s="21">
        <f>EXP(-LN(2)/2)*CM90+(1-EXP(-LN(2)/2))/(LN(2)/2)*CG91*CJ91*VLOOKUP('Données projet'!$B$12,Paramètres!$A$1:$I$89,3,0)*0.475*44/12</f>
        <v>6.0910497537489652E-9</v>
      </c>
      <c r="CN91" s="22">
        <f t="shared" si="66"/>
        <v>0.6279548843589825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-5.6843418860808015E-14</v>
      </c>
      <c r="CU91" s="17">
        <f>CT91*VLOOKUP('Données projet'!$B$13,Paramètres!$A$1:$I$89,3,0)*VLOOKUP('Données projet'!$B$13,Paramètres!$A$1:$I$89,5,0)</f>
        <v>-4.8771653382573282E-14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273.73158910361786</v>
      </c>
      <c r="CZ91" s="59">
        <f t="shared" si="96"/>
        <v>256.77417912163997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-3.4106051316484809E-13</v>
      </c>
      <c r="DP91" s="17">
        <f>DO91*VLOOKUP('Données projet'!$B$14,Paramètres!$A$1:$I$89,3,0)*VLOOKUP('Données projet'!$B$14,Paramètres!$A$1:$I$89,5,0)</f>
        <v>-1.9065282685915009E-13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534.78683721545372</v>
      </c>
      <c r="DU91" s="59">
        <f t="shared" si="98"/>
        <v>710.59298755711075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1.7328379277988308</v>
      </c>
      <c r="EB91" s="21">
        <f>EXP(-LN(2)/25)*EB90+(1-EXP(-LN(2)/25))/(LN(2)/25)*Calculateur!DW91*Calculateur!DY91*VLOOKUP('Données projet'!$B$14,Paramètres!$A$1:$I$89,3,0)*0.475*44/12</f>
        <v>4.8450851248203577</v>
      </c>
      <c r="EC91" s="21">
        <f>EXP(-LN(2)/2)*EC90+(1-EXP(-LN(2)/2))/(LN(2)/2)*DW91*DZ91*VLOOKUP('Données projet'!$B$14,Paramètres!$A$1:$I$89,3,0)*0.475*44/12</f>
        <v>2.1792329944083666E-8</v>
      </c>
      <c r="ED91" s="22">
        <f t="shared" si="72"/>
        <v>6.577923074411518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5.6843418860808015E-14</v>
      </c>
      <c r="EK91" s="17">
        <f>EJ91*VLOOKUP('Données projet'!$B$15,Paramètres!$A$1:$I$89,3,0)*VLOOKUP('Données projet'!$B$15,Paramètres!$A$1:$I$89,5,0)</f>
        <v>4.9658410716801891E-14</v>
      </c>
      <c r="EL91" s="13">
        <f t="shared" si="99"/>
        <v>8.0934058173791862E-13</v>
      </c>
      <c r="EM91" s="20">
        <f t="shared" si="73"/>
        <v>1.4960899118586383E-12</v>
      </c>
      <c r="EN91" s="59">
        <f t="shared" si="74"/>
        <v>293.33333333333479</v>
      </c>
      <c r="EO91" s="59">
        <f ca="1">AVERAGE(OFFSET($EN$3,0,0,'Données projet'!$E$15+1,1))-AVERAGE(OFFSET($H$3,0,0,'Données projet'!$E$15+1,1))</f>
        <v>255.2813753128475</v>
      </c>
      <c r="EP91" s="59">
        <f t="shared" si="100"/>
        <v>317.03005098025352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1.7885061218376554</v>
      </c>
      <c r="EW91" s="21">
        <f>EXP(-LN(2)/25)*EW90+(1-EXP(-LN(2)/25))/(LN(2)/25)*Calculateur!ER91*Calculateur!ET91*VLOOKUP('Données projet'!$B$15,Paramètres!$A$1:$I$89,3,0)*0.475*44/12</f>
        <v>3.5318043124659884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5.3203104343036438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1.7053025658242404E-13</v>
      </c>
      <c r="O92" s="13">
        <f>N92*VLOOKUP('Données projet'!$B$9,Paramètres!$A$1:$I$89,3,0)*VLOOKUP('Données projet'!$B$9,Paramètres!$A$1:$I$89,5,0)</f>
        <v>1.250327841262333E-13</v>
      </c>
      <c r="P92" s="13">
        <f t="shared" si="87"/>
        <v>1.8301318724634299E-12</v>
      </c>
      <c r="Q92" s="20">
        <f t="shared" si="54"/>
        <v>3.405245110226996E-12</v>
      </c>
      <c r="R92" s="59">
        <f t="shared" si="55"/>
        <v>293.33333333333672</v>
      </c>
      <c r="S92" s="59">
        <f ca="1">AVERAGE(OFFSET($R$3,0,0,'Données projet'!$E$9+1,1))-AVERAGE(OFFSET($H$3,0,0,'Données projet'!$E$9+1,1))</f>
        <v>193.60868637458515</v>
      </c>
      <c r="T92" s="59">
        <f t="shared" si="88"/>
        <v>272.97841038165217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-1.3567387213697657E-13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281.79835088425858</v>
      </c>
      <c r="AO92" s="59">
        <f t="shared" si="90"/>
        <v>345.4750813433123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343.6089004382095</v>
      </c>
      <c r="BJ92" s="59">
        <f t="shared" si="92"/>
        <v>278.21741231699929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4.4337866711430253E-14</v>
      </c>
      <c r="CA92" s="13">
        <f t="shared" si="93"/>
        <v>7.3222115536967035E-13</v>
      </c>
      <c r="CB92" s="20">
        <f t="shared" si="64"/>
        <v>1.3525069634579169E-12</v>
      </c>
      <c r="CC92" s="59">
        <f t="shared" si="65"/>
        <v>293.33333333333468</v>
      </c>
      <c r="CD92" s="59">
        <f ca="1">AVERAGE(OFFSET($CC$3,0,0,'Données projet'!$E$12+1,1))-AVERAGE(OFFSET($H$3,0,0,'Données projet'!$E$12+1,1))</f>
        <v>288.82868507674738</v>
      </c>
      <c r="CE92" s="59">
        <f t="shared" si="94"/>
        <v>283.48738729114024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0.61078341909898426</v>
      </c>
      <c r="CM92" s="21">
        <f>EXP(-LN(2)/2)*CM91+(1-EXP(-LN(2)/2))/(LN(2)/2)*CG92*CJ92*VLOOKUP('Données projet'!$B$12,Paramètres!$A$1:$I$89,3,0)*0.475*44/12</f>
        <v>4.3070225854205437E-9</v>
      </c>
      <c r="CN92" s="22">
        <f t="shared" si="66"/>
        <v>0.61078342340600689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-5.6843418860808015E-14</v>
      </c>
      <c r="CU92" s="17">
        <f>CT92*VLOOKUP('Données projet'!$B$13,Paramètres!$A$1:$I$89,3,0)*VLOOKUP('Données projet'!$B$13,Paramètres!$A$1:$I$89,5,0)</f>
        <v>-4.8771653382573282E-14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273.73158910361786</v>
      </c>
      <c r="CZ92" s="59">
        <f t="shared" si="96"/>
        <v>256.77417912163997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-3.4106051316484809E-13</v>
      </c>
      <c r="DP92" s="17">
        <f>DO92*VLOOKUP('Données projet'!$B$14,Paramètres!$A$1:$I$89,3,0)*VLOOKUP('Données projet'!$B$14,Paramètres!$A$1:$I$89,5,0)</f>
        <v>-1.9065282685915009E-13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534.78683721545372</v>
      </c>
      <c r="DU92" s="59">
        <f t="shared" si="98"/>
        <v>710.59298755711075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1.6988580329614689</v>
      </c>
      <c r="EB92" s="21">
        <f>EXP(-LN(2)/25)*EB91+(1-EXP(-LN(2)/25))/(LN(2)/25)*Calculateur!DW92*Calculateur!DY92*VLOOKUP('Données projet'!$B$14,Paramètres!$A$1:$I$89,3,0)*0.475*44/12</f>
        <v>4.712596017290192</v>
      </c>
      <c r="EC92" s="21">
        <f>EXP(-LN(2)/2)*EC91+(1-EXP(-LN(2)/2))/(LN(2)/2)*DW92*DZ92*VLOOKUP('Données projet'!$B$14,Paramètres!$A$1:$I$89,3,0)*0.475*44/12</f>
        <v>1.5409504281316216E-8</v>
      </c>
      <c r="ED92" s="22">
        <f t="shared" si="72"/>
        <v>6.4114540656611645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5.6843418860808015E-14</v>
      </c>
      <c r="EK92" s="17">
        <f>EJ92*VLOOKUP('Données projet'!$B$15,Paramètres!$A$1:$I$89,3,0)*VLOOKUP('Données projet'!$B$15,Paramètres!$A$1:$I$89,5,0)</f>
        <v>4.9658410716801891E-14</v>
      </c>
      <c r="EL92" s="13">
        <f t="shared" si="99"/>
        <v>8.0934058173791862E-13</v>
      </c>
      <c r="EM92" s="20">
        <f t="shared" si="73"/>
        <v>1.4960899118586383E-12</v>
      </c>
      <c r="EN92" s="59">
        <f t="shared" si="74"/>
        <v>293.33333333333479</v>
      </c>
      <c r="EO92" s="59">
        <f ca="1">AVERAGE(OFFSET($EN$3,0,0,'Données projet'!$E$15+1,1))-AVERAGE(OFFSET($H$3,0,0,'Données projet'!$E$15+1,1))</f>
        <v>255.2813753128475</v>
      </c>
      <c r="EP92" s="59">
        <f t="shared" si="100"/>
        <v>317.03005098025352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1.7534346076694378</v>
      </c>
      <c r="EW92" s="21">
        <f>EXP(-LN(2)/25)*EW91+(1-EXP(-LN(2)/25))/(LN(2)/25)*Calculateur!ER92*Calculateur!ET92*VLOOKUP('Données projet'!$B$15,Paramètres!$A$1:$I$89,3,0)*0.475*44/12</f>
        <v>3.435226937812089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5.1886615454815264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1.7053025658242404E-13</v>
      </c>
      <c r="O93" s="13">
        <f>N93*VLOOKUP('Données projet'!$B$9,Paramètres!$A$1:$I$89,3,0)*VLOOKUP('Données projet'!$B$9,Paramètres!$A$1:$I$89,5,0)</f>
        <v>1.250327841262333E-13</v>
      </c>
      <c r="P93" s="13">
        <f t="shared" si="87"/>
        <v>1.8301318724634299E-12</v>
      </c>
      <c r="Q93" s="20">
        <f t="shared" si="54"/>
        <v>3.405245110226996E-12</v>
      </c>
      <c r="R93" s="59">
        <f t="shared" si="55"/>
        <v>293.33333333333672</v>
      </c>
      <c r="S93" s="59">
        <f ca="1">AVERAGE(OFFSET($R$3,0,0,'Données projet'!$E$9+1,1))-AVERAGE(OFFSET($H$3,0,0,'Données projet'!$E$9+1,1))</f>
        <v>193.60868637458515</v>
      </c>
      <c r="T93" s="59">
        <f t="shared" si="88"/>
        <v>272.97841038165217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-1.3567387213697657E-13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281.79835088425858</v>
      </c>
      <c r="AO93" s="59">
        <f t="shared" si="90"/>
        <v>345.4750813433123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343.6089004382095</v>
      </c>
      <c r="BJ93" s="59">
        <f t="shared" si="92"/>
        <v>278.21741231699929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4.4337866711430253E-14</v>
      </c>
      <c r="CA93" s="13">
        <f t="shared" si="93"/>
        <v>7.3222115536967035E-13</v>
      </c>
      <c r="CB93" s="20">
        <f t="shared" si="64"/>
        <v>1.3525069634579169E-12</v>
      </c>
      <c r="CC93" s="59">
        <f t="shared" si="65"/>
        <v>293.33333333333468</v>
      </c>
      <c r="CD93" s="59">
        <f ca="1">AVERAGE(OFFSET($CC$3,0,0,'Données projet'!$E$12+1,1))-AVERAGE(OFFSET($H$3,0,0,'Données projet'!$E$12+1,1))</f>
        <v>288.82868507674738</v>
      </c>
      <c r="CE93" s="59">
        <f t="shared" si="94"/>
        <v>283.48738729114024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0.59408151438401846</v>
      </c>
      <c r="CM93" s="21">
        <f>EXP(-LN(2)/2)*CM92+(1-EXP(-LN(2)/2))/(LN(2)/2)*CG93*CJ93*VLOOKUP('Données projet'!$B$12,Paramètres!$A$1:$I$89,3,0)*0.475*44/12</f>
        <v>3.0455248768744826E-9</v>
      </c>
      <c r="CN93" s="22">
        <f t="shared" si="66"/>
        <v>0.59408151742954329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-5.6843418860808015E-14</v>
      </c>
      <c r="CU93" s="17">
        <f>CT93*VLOOKUP('Données projet'!$B$13,Paramètres!$A$1:$I$89,3,0)*VLOOKUP('Données projet'!$B$13,Paramètres!$A$1:$I$89,5,0)</f>
        <v>-4.8771653382573282E-14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273.73158910361786</v>
      </c>
      <c r="CZ93" s="59">
        <f t="shared" si="96"/>
        <v>256.77417912163997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-3.4106051316484809E-13</v>
      </c>
      <c r="DP93" s="17">
        <f>DO93*VLOOKUP('Données projet'!$B$14,Paramètres!$A$1:$I$89,3,0)*VLOOKUP('Données projet'!$B$14,Paramètres!$A$1:$I$89,5,0)</f>
        <v>-1.9065282685915009E-13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534.78683721545372</v>
      </c>
      <c r="DU93" s="59">
        <f t="shared" si="98"/>
        <v>710.59298755711075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1.6655444631361782</v>
      </c>
      <c r="EB93" s="21">
        <f>EXP(-LN(2)/25)*EB92+(1-EXP(-LN(2)/25))/(LN(2)/25)*Calculateur!DW93*Calculateur!DY93*VLOOKUP('Données projet'!$B$14,Paramètres!$A$1:$I$89,3,0)*0.475*44/12</f>
        <v>4.5837298313727377</v>
      </c>
      <c r="EC93" s="21">
        <f>EXP(-LN(2)/2)*EC92+(1-EXP(-LN(2)/2))/(LN(2)/2)*DW93*DZ93*VLOOKUP('Données projet'!$B$14,Paramètres!$A$1:$I$89,3,0)*0.475*44/12</f>
        <v>1.0896164972041833E-8</v>
      </c>
      <c r="ED93" s="22">
        <f t="shared" si="72"/>
        <v>6.2492743054050806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5.6843418860808015E-14</v>
      </c>
      <c r="EK93" s="17">
        <f>EJ93*VLOOKUP('Données projet'!$B$15,Paramètres!$A$1:$I$89,3,0)*VLOOKUP('Données projet'!$B$15,Paramètres!$A$1:$I$89,5,0)</f>
        <v>4.9658410716801891E-14</v>
      </c>
      <c r="EL93" s="13">
        <f t="shared" si="99"/>
        <v>8.0934058173791862E-13</v>
      </c>
      <c r="EM93" s="20">
        <f t="shared" si="73"/>
        <v>1.4960899118586383E-12</v>
      </c>
      <c r="EN93" s="59">
        <f t="shared" si="74"/>
        <v>293.33333333333479</v>
      </c>
      <c r="EO93" s="59">
        <f ca="1">AVERAGE(OFFSET($EN$3,0,0,'Données projet'!$E$15+1,1))-AVERAGE(OFFSET($H$3,0,0,'Données projet'!$E$15+1,1))</f>
        <v>255.2813753128475</v>
      </c>
      <c r="EP93" s="59">
        <f t="shared" si="100"/>
        <v>317.03005098025352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1.7190508245025475</v>
      </c>
      <c r="EW93" s="21">
        <f>EXP(-LN(2)/25)*EW92+(1-EXP(-LN(2)/25))/(LN(2)/25)*Calculateur!ER93*Calculateur!ET93*VLOOKUP('Données projet'!$B$15,Paramètres!$A$1:$I$89,3,0)*0.475*44/12</f>
        <v>3.341290476546884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5.0603413010494318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1.7053025658242404E-13</v>
      </c>
      <c r="O94" s="13">
        <f>N94*VLOOKUP('Données projet'!$B$9,Paramètres!$A$1:$I$89,3,0)*VLOOKUP('Données projet'!$B$9,Paramètres!$A$1:$I$89,5,0)</f>
        <v>1.250327841262333E-13</v>
      </c>
      <c r="P94" s="13">
        <f t="shared" si="87"/>
        <v>1.8301318724634299E-12</v>
      </c>
      <c r="Q94" s="20">
        <f t="shared" si="54"/>
        <v>3.405245110226996E-12</v>
      </c>
      <c r="R94" s="59">
        <f t="shared" si="55"/>
        <v>293.33333333333672</v>
      </c>
      <c r="S94" s="59">
        <f ca="1">AVERAGE(OFFSET($R$3,0,0,'Données projet'!$E$9+1,1))-AVERAGE(OFFSET($H$3,0,0,'Données projet'!$E$9+1,1))</f>
        <v>193.60868637458515</v>
      </c>
      <c r="T94" s="59">
        <f t="shared" si="88"/>
        <v>272.97841038165217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-1.3567387213697657E-13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281.79835088425858</v>
      </c>
      <c r="AO94" s="59">
        <f t="shared" si="90"/>
        <v>345.4750813433123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343.6089004382095</v>
      </c>
      <c r="BJ94" s="59">
        <f t="shared" si="92"/>
        <v>278.21741231699929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4.4337866711430253E-14</v>
      </c>
      <c r="CA94" s="13">
        <f t="shared" si="93"/>
        <v>7.3222115536967035E-13</v>
      </c>
      <c r="CB94" s="20">
        <f t="shared" si="64"/>
        <v>1.3525069634579169E-12</v>
      </c>
      <c r="CC94" s="59">
        <f t="shared" si="65"/>
        <v>293.33333333333468</v>
      </c>
      <c r="CD94" s="59">
        <f ca="1">AVERAGE(OFFSET($CC$3,0,0,'Données projet'!$E$12+1,1))-AVERAGE(OFFSET($H$3,0,0,'Données projet'!$E$12+1,1))</f>
        <v>288.82868507674738</v>
      </c>
      <c r="CE94" s="59">
        <f t="shared" si="94"/>
        <v>283.48738729114024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0.57783632413179842</v>
      </c>
      <c r="CM94" s="21">
        <f>EXP(-LN(2)/2)*CM93+(1-EXP(-LN(2)/2))/(LN(2)/2)*CG94*CJ94*VLOOKUP('Données projet'!$B$12,Paramètres!$A$1:$I$89,3,0)*0.475*44/12</f>
        <v>2.1535112927102719E-9</v>
      </c>
      <c r="CN94" s="22">
        <f t="shared" si="66"/>
        <v>0.57783632628530968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-5.6843418860808015E-14</v>
      </c>
      <c r="CU94" s="17">
        <f>CT94*VLOOKUP('Données projet'!$B$13,Paramètres!$A$1:$I$89,3,0)*VLOOKUP('Données projet'!$B$13,Paramètres!$A$1:$I$89,5,0)</f>
        <v>-4.8771653382573282E-14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273.73158910361786</v>
      </c>
      <c r="CZ94" s="59">
        <f t="shared" si="96"/>
        <v>256.77417912163997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-3.4106051316484809E-13</v>
      </c>
      <c r="DP94" s="17">
        <f>DO94*VLOOKUP('Données projet'!$B$14,Paramètres!$A$1:$I$89,3,0)*VLOOKUP('Données projet'!$B$14,Paramètres!$A$1:$I$89,5,0)</f>
        <v>-1.9065282685915009E-13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534.78683721545372</v>
      </c>
      <c r="DU94" s="59">
        <f t="shared" si="98"/>
        <v>710.59298755711075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1.6328841520958903</v>
      </c>
      <c r="EB94" s="21">
        <f>EXP(-LN(2)/25)*EB93+(1-EXP(-LN(2)/25))/(LN(2)/25)*Calculateur!DW94*Calculateur!DY94*VLOOKUP('Données projet'!$B$14,Paramètres!$A$1:$I$89,3,0)*0.475*44/12</f>
        <v>4.4583874980859743</v>
      </c>
      <c r="EC94" s="21">
        <f>EXP(-LN(2)/2)*EC93+(1-EXP(-LN(2)/2))/(LN(2)/2)*DW94*DZ94*VLOOKUP('Données projet'!$B$14,Paramètres!$A$1:$I$89,3,0)*0.475*44/12</f>
        <v>7.7047521406581081E-9</v>
      </c>
      <c r="ED94" s="22">
        <f t="shared" si="72"/>
        <v>6.0912716578866171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5.6843418860808015E-14</v>
      </c>
      <c r="EK94" s="17">
        <f>EJ94*VLOOKUP('Données projet'!$B$15,Paramètres!$A$1:$I$89,3,0)*VLOOKUP('Données projet'!$B$15,Paramètres!$A$1:$I$89,5,0)</f>
        <v>4.9658410716801891E-14</v>
      </c>
      <c r="EL94" s="13">
        <f t="shared" si="99"/>
        <v>8.0934058173791862E-13</v>
      </c>
      <c r="EM94" s="20">
        <f t="shared" si="73"/>
        <v>1.4960899118586383E-12</v>
      </c>
      <c r="EN94" s="59">
        <f t="shared" si="74"/>
        <v>293.33333333333479</v>
      </c>
      <c r="EO94" s="59">
        <f ca="1">AVERAGE(OFFSET($EN$3,0,0,'Données projet'!$E$15+1,1))-AVERAGE(OFFSET($H$3,0,0,'Données projet'!$E$15+1,1))</f>
        <v>255.2813753128475</v>
      </c>
      <c r="EP94" s="59">
        <f t="shared" si="100"/>
        <v>317.03005098025352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1.6853412863515229</v>
      </c>
      <c r="EW94" s="21">
        <f>EXP(-LN(2)/25)*EW93+(1-EXP(-LN(2)/25))/(LN(2)/25)*Calculateur!ER94*Calculateur!ET94*VLOOKUP('Données projet'!$B$15,Paramètres!$A$1:$I$89,3,0)*0.475*44/12</f>
        <v>3.2499227127548798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4.9352639991064029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1.7053025658242404E-13</v>
      </c>
      <c r="O95" s="13">
        <f>N95*VLOOKUP('Données projet'!$B$9,Paramètres!$A$1:$I$89,3,0)*VLOOKUP('Données projet'!$B$9,Paramètres!$A$1:$I$89,5,0)</f>
        <v>1.250327841262333E-13</v>
      </c>
      <c r="P95" s="13">
        <f t="shared" si="87"/>
        <v>1.8301318724634299E-12</v>
      </c>
      <c r="Q95" s="20">
        <f t="shared" si="54"/>
        <v>3.405245110226996E-12</v>
      </c>
      <c r="R95" s="59">
        <f t="shared" si="55"/>
        <v>293.33333333333672</v>
      </c>
      <c r="S95" s="59">
        <f ca="1">AVERAGE(OFFSET($R$3,0,0,'Données projet'!$E$9+1,1))-AVERAGE(OFFSET($H$3,0,0,'Données projet'!$E$9+1,1))</f>
        <v>193.60868637458515</v>
      </c>
      <c r="T95" s="59">
        <f t="shared" si="88"/>
        <v>272.97841038165217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-1.3567387213697657E-13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281.79835088425858</v>
      </c>
      <c r="AO95" s="59">
        <f t="shared" si="90"/>
        <v>345.4750813433123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343.6089004382095</v>
      </c>
      <c r="BJ95" s="59">
        <f t="shared" si="92"/>
        <v>278.21741231699929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4.4337866711430253E-14</v>
      </c>
      <c r="CA95" s="13">
        <f t="shared" si="93"/>
        <v>7.3222115536967035E-13</v>
      </c>
      <c r="CB95" s="20">
        <f t="shared" si="64"/>
        <v>1.3525069634579169E-12</v>
      </c>
      <c r="CC95" s="59">
        <f t="shared" si="65"/>
        <v>293.33333333333468</v>
      </c>
      <c r="CD95" s="59">
        <f ca="1">AVERAGE(OFFSET($CC$3,0,0,'Données projet'!$E$12+1,1))-AVERAGE(OFFSET($H$3,0,0,'Données projet'!$E$12+1,1))</f>
        <v>288.82868507674738</v>
      </c>
      <c r="CE95" s="59">
        <f t="shared" si="94"/>
        <v>283.48738729114024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0.56203535946132277</v>
      </c>
      <c r="CM95" s="21">
        <f>EXP(-LN(2)/2)*CM94+(1-EXP(-LN(2)/2))/(LN(2)/2)*CG95*CJ95*VLOOKUP('Données projet'!$B$12,Paramètres!$A$1:$I$89,3,0)*0.475*44/12</f>
        <v>1.5227624384372413E-9</v>
      </c>
      <c r="CN95" s="22">
        <f t="shared" si="66"/>
        <v>0.56203536098408524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-5.6843418860808015E-14</v>
      </c>
      <c r="CU95" s="17">
        <f>CT95*VLOOKUP('Données projet'!$B$13,Paramètres!$A$1:$I$89,3,0)*VLOOKUP('Données projet'!$B$13,Paramètres!$A$1:$I$89,5,0)</f>
        <v>-4.8771653382573282E-14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273.73158910361786</v>
      </c>
      <c r="CZ95" s="59">
        <f t="shared" si="96"/>
        <v>256.77417912163997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-3.4106051316484809E-13</v>
      </c>
      <c r="DP95" s="17">
        <f>DO95*VLOOKUP('Données projet'!$B$14,Paramètres!$A$1:$I$89,3,0)*VLOOKUP('Données projet'!$B$14,Paramètres!$A$1:$I$89,5,0)</f>
        <v>-1.9065282685915009E-13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534.78683721545372</v>
      </c>
      <c r="DU95" s="59">
        <f t="shared" si="98"/>
        <v>710.59298755711075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1.6008642898342798</v>
      </c>
      <c r="EB95" s="21">
        <f>EXP(-LN(2)/25)*EB94+(1-EXP(-LN(2)/25))/(LN(2)/25)*Calculateur!DW95*Calculateur!DY95*VLOOKUP('Données projet'!$B$14,Paramètres!$A$1:$I$89,3,0)*0.475*44/12</f>
        <v>4.3364726574944044</v>
      </c>
      <c r="EC95" s="21">
        <f>EXP(-LN(2)/2)*EC94+(1-EXP(-LN(2)/2))/(LN(2)/2)*DW95*DZ95*VLOOKUP('Données projet'!$B$14,Paramètres!$A$1:$I$89,3,0)*0.475*44/12</f>
        <v>5.4480824860209165E-9</v>
      </c>
      <c r="ED95" s="22">
        <f t="shared" si="72"/>
        <v>5.937336952776767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5.6843418860808015E-14</v>
      </c>
      <c r="EK95" s="17">
        <f>EJ95*VLOOKUP('Données projet'!$B$15,Paramètres!$A$1:$I$89,3,0)*VLOOKUP('Données projet'!$B$15,Paramètres!$A$1:$I$89,5,0)</f>
        <v>4.9658410716801891E-14</v>
      </c>
      <c r="EL95" s="13">
        <f t="shared" si="99"/>
        <v>8.0934058173791862E-13</v>
      </c>
      <c r="EM95" s="20">
        <f t="shared" si="73"/>
        <v>1.4960899118586383E-12</v>
      </c>
      <c r="EN95" s="59">
        <f t="shared" si="74"/>
        <v>293.33333333333479</v>
      </c>
      <c r="EO95" s="59">
        <f ca="1">AVERAGE(OFFSET($EN$3,0,0,'Données projet'!$E$15+1,1))-AVERAGE(OFFSET($H$3,0,0,'Données projet'!$E$15+1,1))</f>
        <v>255.2813753128475</v>
      </c>
      <c r="EP95" s="59">
        <f t="shared" si="100"/>
        <v>317.03005098025352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1.6522927716828519</v>
      </c>
      <c r="EW95" s="21">
        <f>EXP(-LN(2)/25)*EW94+(1-EXP(-LN(2)/25))/(LN(2)/25)*Calculateur!ER95*Calculateur!ET95*VLOOKUP('Données projet'!$B$15,Paramètres!$A$1:$I$89,3,0)*0.475*44/12</f>
        <v>3.1610534052685897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4.8133461769514412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1.7053025658242404E-13</v>
      </c>
      <c r="O96" s="13">
        <f>N96*VLOOKUP('Données projet'!$B$9,Paramètres!$A$1:$I$89,3,0)*VLOOKUP('Données projet'!$B$9,Paramètres!$A$1:$I$89,5,0)</f>
        <v>1.250327841262333E-13</v>
      </c>
      <c r="P96" s="13">
        <f t="shared" si="87"/>
        <v>1.8301318724634299E-12</v>
      </c>
      <c r="Q96" s="20">
        <f t="shared" si="54"/>
        <v>3.405245110226996E-12</v>
      </c>
      <c r="R96" s="59">
        <f t="shared" si="55"/>
        <v>293.33333333333672</v>
      </c>
      <c r="S96" s="59">
        <f ca="1">AVERAGE(OFFSET($R$3,0,0,'Données projet'!$E$9+1,1))-AVERAGE(OFFSET($H$3,0,0,'Données projet'!$E$9+1,1))</f>
        <v>193.60868637458515</v>
      </c>
      <c r="T96" s="59">
        <f t="shared" si="88"/>
        <v>272.97841038165217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-1.3567387213697657E-13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281.79835088425858</v>
      </c>
      <c r="AO96" s="59">
        <f t="shared" si="90"/>
        <v>345.4750813433123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343.6089004382095</v>
      </c>
      <c r="BJ96" s="59">
        <f t="shared" si="92"/>
        <v>278.21741231699929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4.4337866711430253E-14</v>
      </c>
      <c r="CA96" s="13">
        <f t="shared" si="93"/>
        <v>7.3222115536967035E-13</v>
      </c>
      <c r="CB96" s="20">
        <f t="shared" si="64"/>
        <v>1.3525069634579169E-12</v>
      </c>
      <c r="CC96" s="59">
        <f t="shared" si="65"/>
        <v>293.33333333333468</v>
      </c>
      <c r="CD96" s="59">
        <f ca="1">AVERAGE(OFFSET($CC$3,0,0,'Données projet'!$E$12+1,1))-AVERAGE(OFFSET($H$3,0,0,'Données projet'!$E$12+1,1))</f>
        <v>288.82868507674738</v>
      </c>
      <c r="CE96" s="59">
        <f t="shared" si="94"/>
        <v>283.48738729114024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0.54666647300069793</v>
      </c>
      <c r="CM96" s="21">
        <f>EXP(-LN(2)/2)*CM95+(1-EXP(-LN(2)/2))/(LN(2)/2)*CG96*CJ96*VLOOKUP('Données projet'!$B$12,Paramètres!$A$1:$I$89,3,0)*0.475*44/12</f>
        <v>1.0767556463551359E-9</v>
      </c>
      <c r="CN96" s="22">
        <f t="shared" si="66"/>
        <v>0.54666647407745361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-5.6843418860808015E-14</v>
      </c>
      <c r="CU96" s="17">
        <f>CT96*VLOOKUP('Données projet'!$B$13,Paramètres!$A$1:$I$89,3,0)*VLOOKUP('Données projet'!$B$13,Paramètres!$A$1:$I$89,5,0)</f>
        <v>-4.8771653382573282E-14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273.73158910361786</v>
      </c>
      <c r="CZ96" s="59">
        <f t="shared" si="96"/>
        <v>256.77417912163997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-3.4106051316484809E-13</v>
      </c>
      <c r="DP96" s="17">
        <f>DO96*VLOOKUP('Données projet'!$B$14,Paramètres!$A$1:$I$89,3,0)*VLOOKUP('Données projet'!$B$14,Paramètres!$A$1:$I$89,5,0)</f>
        <v>-1.9065282685915009E-13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534.78683721545372</v>
      </c>
      <c r="DU96" s="59">
        <f t="shared" si="98"/>
        <v>710.59298755711075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1.5694723175414318</v>
      </c>
      <c r="EB96" s="21">
        <f>EXP(-LN(2)/25)*EB95+(1-EXP(-LN(2)/25))/(LN(2)/25)*Calculateur!DW96*Calculateur!DY96*VLOOKUP('Données projet'!$B$14,Paramètres!$A$1:$I$89,3,0)*0.475*44/12</f>
        <v>4.217891584630034</v>
      </c>
      <c r="EC96" s="21">
        <f>EXP(-LN(2)/2)*EC95+(1-EXP(-LN(2)/2))/(LN(2)/2)*DW96*DZ96*VLOOKUP('Données projet'!$B$14,Paramètres!$A$1:$I$89,3,0)*0.475*44/12</f>
        <v>3.8523760703290541E-9</v>
      </c>
      <c r="ED96" s="22">
        <f t="shared" si="72"/>
        <v>5.7873639060238418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5.6843418860808015E-14</v>
      </c>
      <c r="EK96" s="17">
        <f>EJ96*VLOOKUP('Données projet'!$B$15,Paramètres!$A$1:$I$89,3,0)*VLOOKUP('Données projet'!$B$15,Paramètres!$A$1:$I$89,5,0)</f>
        <v>4.9658410716801891E-14</v>
      </c>
      <c r="EL96" s="13">
        <f t="shared" si="99"/>
        <v>8.0934058173791862E-13</v>
      </c>
      <c r="EM96" s="20">
        <f t="shared" si="73"/>
        <v>1.4960899118586383E-12</v>
      </c>
      <c r="EN96" s="59">
        <f t="shared" si="74"/>
        <v>293.33333333333479</v>
      </c>
      <c r="EO96" s="59">
        <f ca="1">AVERAGE(OFFSET($EN$3,0,0,'Données projet'!$E$15+1,1))-AVERAGE(OFFSET($H$3,0,0,'Données projet'!$E$15+1,1))</f>
        <v>255.2813753128475</v>
      </c>
      <c r="EP96" s="59">
        <f t="shared" si="100"/>
        <v>317.03005098025352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1.61989231822923</v>
      </c>
      <c r="EW96" s="21">
        <f>EXP(-LN(2)/25)*EW95+(1-EXP(-LN(2)/25))/(LN(2)/25)*Calculateur!ER96*Calculateur!ET96*VLOOKUP('Données projet'!$B$15,Paramètres!$A$1:$I$89,3,0)*0.475*44/12</f>
        <v>3.0746142336689464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4.6945065518981766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1.7053025658242404E-13</v>
      </c>
      <c r="O97" s="13">
        <f>N97*VLOOKUP('Données projet'!$B$9,Paramètres!$A$1:$I$89,3,0)*VLOOKUP('Données projet'!$B$9,Paramètres!$A$1:$I$89,5,0)</f>
        <v>1.250327841262333E-13</v>
      </c>
      <c r="P97" s="13">
        <f t="shared" si="87"/>
        <v>1.8301318724634299E-12</v>
      </c>
      <c r="Q97" s="20">
        <f t="shared" si="54"/>
        <v>3.405245110226996E-12</v>
      </c>
      <c r="R97" s="59">
        <f t="shared" si="55"/>
        <v>293.33333333333672</v>
      </c>
      <c r="S97" s="59">
        <f ca="1">AVERAGE(OFFSET($R$3,0,0,'Données projet'!$E$9+1,1))-AVERAGE(OFFSET($H$3,0,0,'Données projet'!$E$9+1,1))</f>
        <v>193.60868637458515</v>
      </c>
      <c r="T97" s="59">
        <f t="shared" si="88"/>
        <v>272.97841038165217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-1.3567387213697657E-13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281.79835088425858</v>
      </c>
      <c r="AO97" s="59">
        <f t="shared" si="90"/>
        <v>345.4750813433123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343.6089004382095</v>
      </c>
      <c r="BJ97" s="59">
        <f t="shared" si="92"/>
        <v>278.21741231699929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4.4337866711430253E-14</v>
      </c>
      <c r="CA97" s="13">
        <f t="shared" si="93"/>
        <v>7.3222115536967035E-13</v>
      </c>
      <c r="CB97" s="20">
        <f t="shared" si="64"/>
        <v>1.3525069634579169E-12</v>
      </c>
      <c r="CC97" s="59">
        <f t="shared" si="65"/>
        <v>293.33333333333468</v>
      </c>
      <c r="CD97" s="59">
        <f ca="1">AVERAGE(OFFSET($CC$3,0,0,'Données projet'!$E$12+1,1))-AVERAGE(OFFSET($H$3,0,0,'Données projet'!$E$12+1,1))</f>
        <v>288.82868507674738</v>
      </c>
      <c r="CE97" s="59">
        <f t="shared" si="94"/>
        <v>283.48738729114024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0.5317178495485535</v>
      </c>
      <c r="CM97" s="21">
        <f>EXP(-LN(2)/2)*CM96+(1-EXP(-LN(2)/2))/(LN(2)/2)*CG97*CJ97*VLOOKUP('Données projet'!$B$12,Paramètres!$A$1:$I$89,3,0)*0.475*44/12</f>
        <v>7.6138121921862065E-10</v>
      </c>
      <c r="CN97" s="22">
        <f t="shared" si="66"/>
        <v>0.53171785030993468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-5.6843418860808015E-14</v>
      </c>
      <c r="CU97" s="17">
        <f>CT97*VLOOKUP('Données projet'!$B$13,Paramètres!$A$1:$I$89,3,0)*VLOOKUP('Données projet'!$B$13,Paramètres!$A$1:$I$89,5,0)</f>
        <v>-4.8771653382573282E-14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273.73158910361786</v>
      </c>
      <c r="CZ97" s="59">
        <f t="shared" si="96"/>
        <v>256.77417912163997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-3.4106051316484809E-13</v>
      </c>
      <c r="DP97" s="17">
        <f>DO97*VLOOKUP('Données projet'!$B$14,Paramètres!$A$1:$I$89,3,0)*VLOOKUP('Données projet'!$B$14,Paramètres!$A$1:$I$89,5,0)</f>
        <v>-1.9065282685915009E-13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534.78683721545372</v>
      </c>
      <c r="DU97" s="59">
        <f t="shared" si="98"/>
        <v>710.59298755711075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1.5386959226780341</v>
      </c>
      <c r="EB97" s="21">
        <f>EXP(-LN(2)/25)*EB96+(1-EXP(-LN(2)/25))/(LN(2)/25)*Calculateur!DW97*Calculateur!DY97*VLOOKUP('Données projet'!$B$14,Paramètres!$A$1:$I$89,3,0)*0.475*44/12</f>
        <v>4.1025531174390473</v>
      </c>
      <c r="EC97" s="21">
        <f>EXP(-LN(2)/2)*EC96+(1-EXP(-LN(2)/2))/(LN(2)/2)*DW97*DZ97*VLOOKUP('Données projet'!$B$14,Paramètres!$A$1:$I$89,3,0)*0.475*44/12</f>
        <v>2.7240412430104583E-9</v>
      </c>
      <c r="ED97" s="22">
        <f t="shared" si="72"/>
        <v>5.6412490428411228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5.6843418860808015E-14</v>
      </c>
      <c r="EK97" s="17">
        <f>EJ97*VLOOKUP('Données projet'!$B$15,Paramètres!$A$1:$I$89,3,0)*VLOOKUP('Données projet'!$B$15,Paramètres!$A$1:$I$89,5,0)</f>
        <v>4.9658410716801891E-14</v>
      </c>
      <c r="EL97" s="13">
        <f t="shared" si="99"/>
        <v>8.0934058173791862E-13</v>
      </c>
      <c r="EM97" s="20">
        <f t="shared" si="73"/>
        <v>1.4960899118586383E-12</v>
      </c>
      <c r="EN97" s="59">
        <f t="shared" si="74"/>
        <v>293.33333333333479</v>
      </c>
      <c r="EO97" s="59">
        <f ca="1">AVERAGE(OFFSET($EN$3,0,0,'Données projet'!$E$15+1,1))-AVERAGE(OFFSET($H$3,0,0,'Données projet'!$E$15+1,1))</f>
        <v>255.2813753128475</v>
      </c>
      <c r="EP97" s="59">
        <f t="shared" si="100"/>
        <v>317.03005098025352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1.5881272179055084</v>
      </c>
      <c r="EW97" s="21">
        <f>EXP(-LN(2)/25)*EW96+(1-EXP(-LN(2)/25))/(LN(2)/25)*Calculateur!ER97*Calculateur!ET97*VLOOKUP('Données projet'!$B$15,Paramètres!$A$1:$I$89,3,0)*0.475*44/12</f>
        <v>2.9905387457623336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4.5786659636678415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1.7053025658242404E-13</v>
      </c>
      <c r="O98" s="13">
        <f>N98*VLOOKUP('Données projet'!$B$9,Paramètres!$A$1:$I$89,3,0)*VLOOKUP('Données projet'!$B$9,Paramètres!$A$1:$I$89,5,0)</f>
        <v>1.250327841262333E-13</v>
      </c>
      <c r="P98" s="13">
        <f t="shared" si="87"/>
        <v>1.8301318724634299E-12</v>
      </c>
      <c r="Q98" s="20">
        <f t="shared" si="54"/>
        <v>3.405245110226996E-12</v>
      </c>
      <c r="R98" s="59">
        <f t="shared" si="55"/>
        <v>293.33333333333672</v>
      </c>
      <c r="S98" s="59">
        <f ca="1">AVERAGE(OFFSET($R$3,0,0,'Données projet'!$E$9+1,1))-AVERAGE(OFFSET($H$3,0,0,'Données projet'!$E$9+1,1))</f>
        <v>193.60868637458515</v>
      </c>
      <c r="T98" s="59">
        <f t="shared" si="88"/>
        <v>272.97841038165217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-1.3567387213697657E-13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281.79835088425858</v>
      </c>
      <c r="AO98" s="59">
        <f t="shared" si="90"/>
        <v>345.4750813433123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343.6089004382095</v>
      </c>
      <c r="BJ98" s="59">
        <f t="shared" si="92"/>
        <v>278.21741231699929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4.4337866711430253E-14</v>
      </c>
      <c r="CA98" s="13">
        <f t="shared" si="93"/>
        <v>7.3222115536967035E-13</v>
      </c>
      <c r="CB98" s="20">
        <f t="shared" si="64"/>
        <v>1.3525069634579169E-12</v>
      </c>
      <c r="CC98" s="59">
        <f t="shared" si="65"/>
        <v>293.33333333333468</v>
      </c>
      <c r="CD98" s="59">
        <f ca="1">AVERAGE(OFFSET($CC$3,0,0,'Données projet'!$E$12+1,1))-AVERAGE(OFFSET($H$3,0,0,'Données projet'!$E$12+1,1))</f>
        <v>288.82868507674738</v>
      </c>
      <c r="CE98" s="59">
        <f t="shared" si="94"/>
        <v>283.48738729114024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0.5171779969908219</v>
      </c>
      <c r="CM98" s="21">
        <f>EXP(-LN(2)/2)*CM97+(1-EXP(-LN(2)/2))/(LN(2)/2)*CG98*CJ98*VLOOKUP('Données projet'!$B$12,Paramètres!$A$1:$I$89,3,0)*0.475*44/12</f>
        <v>5.3837782317756796E-10</v>
      </c>
      <c r="CN98" s="22">
        <f t="shared" si="66"/>
        <v>0.51717799752919968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-5.6843418860808015E-14</v>
      </c>
      <c r="CU98" s="17">
        <f>CT98*VLOOKUP('Données projet'!$B$13,Paramètres!$A$1:$I$89,3,0)*VLOOKUP('Données projet'!$B$13,Paramètres!$A$1:$I$89,5,0)</f>
        <v>-4.8771653382573282E-14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273.73158910361786</v>
      </c>
      <c r="CZ98" s="59">
        <f t="shared" si="96"/>
        <v>256.77417912163997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-3.4106051316484809E-13</v>
      </c>
      <c r="DP98" s="17">
        <f>DO98*VLOOKUP('Données projet'!$B$14,Paramètres!$A$1:$I$89,3,0)*VLOOKUP('Données projet'!$B$14,Paramètres!$A$1:$I$89,5,0)</f>
        <v>-1.9065282685915009E-13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534.78683721545372</v>
      </c>
      <c r="DU98" s="59">
        <f t="shared" si="98"/>
        <v>710.59298755711075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1.5085230341461604</v>
      </c>
      <c r="EB98" s="21">
        <f>EXP(-LN(2)/25)*EB97+(1-EXP(-LN(2)/25))/(LN(2)/25)*Calculateur!DW98*Calculateur!DY98*VLOOKUP('Données projet'!$B$14,Paramètres!$A$1:$I$89,3,0)*0.475*44/12</f>
        <v>3.9903685866987848</v>
      </c>
      <c r="EC98" s="21">
        <f>EXP(-LN(2)/2)*EC97+(1-EXP(-LN(2)/2))/(LN(2)/2)*DW98*DZ98*VLOOKUP('Données projet'!$B$14,Paramètres!$A$1:$I$89,3,0)*0.475*44/12</f>
        <v>1.926188035164527E-9</v>
      </c>
      <c r="ED98" s="22">
        <f t="shared" si="72"/>
        <v>5.4988916227711337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5.6843418860808015E-14</v>
      </c>
      <c r="EK98" s="17">
        <f>EJ98*VLOOKUP('Données projet'!$B$15,Paramètres!$A$1:$I$89,3,0)*VLOOKUP('Données projet'!$B$15,Paramètres!$A$1:$I$89,5,0)</f>
        <v>4.9658410716801891E-14</v>
      </c>
      <c r="EL98" s="13">
        <f t="shared" si="99"/>
        <v>8.0934058173791862E-13</v>
      </c>
      <c r="EM98" s="20">
        <f t="shared" si="73"/>
        <v>1.4960899118586383E-12</v>
      </c>
      <c r="EN98" s="59">
        <f t="shared" si="74"/>
        <v>293.33333333333479</v>
      </c>
      <c r="EO98" s="59">
        <f ca="1">AVERAGE(OFFSET($EN$3,0,0,'Données projet'!$E$15+1,1))-AVERAGE(OFFSET($H$3,0,0,'Données projet'!$E$15+1,1))</f>
        <v>255.2813753128475</v>
      </c>
      <c r="EP98" s="59">
        <f t="shared" si="100"/>
        <v>317.03005098025352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1.5569850118243369</v>
      </c>
      <c r="EW98" s="21">
        <f>EXP(-LN(2)/25)*EW97+(1-EXP(-LN(2)/25))/(LN(2)/25)*Calculateur!ER98*Calculateur!ET98*VLOOKUP('Données projet'!$B$15,Paramètres!$A$1:$I$89,3,0)*0.475*44/12</f>
        <v>2.9087623064938648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4.4657473183182015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1.7053025658242404E-13</v>
      </c>
      <c r="O99" s="13">
        <f>N99*VLOOKUP('Données projet'!$B$9,Paramètres!$A$1:$I$89,3,0)*VLOOKUP('Données projet'!$B$9,Paramètres!$A$1:$I$89,5,0)</f>
        <v>1.250327841262333E-13</v>
      </c>
      <c r="P99" s="13">
        <f t="shared" si="87"/>
        <v>1.8301318724634299E-12</v>
      </c>
      <c r="Q99" s="20">
        <f t="shared" ref="Q99:Q130" si="107">(O99+P99)*0.475*44/12</f>
        <v>3.405245110226996E-12</v>
      </c>
      <c r="R99" s="59">
        <f t="shared" si="55"/>
        <v>293.33333333333672</v>
      </c>
      <c r="S99" s="59">
        <f ca="1">AVERAGE(OFFSET($R$3,0,0,'Données projet'!$E$9+1,1))-AVERAGE(OFFSET($H$3,0,0,'Données projet'!$E$9+1,1))</f>
        <v>193.60868637458515</v>
      </c>
      <c r="T99" s="59">
        <f t="shared" si="88"/>
        <v>272.97841038165217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-1.3567387213697657E-13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281.79835088425858</v>
      </c>
      <c r="AO99" s="59">
        <f t="shared" si="90"/>
        <v>345.4750813433123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343.6089004382095</v>
      </c>
      <c r="BJ99" s="59">
        <f t="shared" si="92"/>
        <v>278.21741231699929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4.4337866711430253E-14</v>
      </c>
      <c r="CA99" s="13">
        <f t="shared" si="93"/>
        <v>7.3222115536967035E-13</v>
      </c>
      <c r="CB99" s="20">
        <f t="shared" si="64"/>
        <v>1.3525069634579169E-12</v>
      </c>
      <c r="CC99" s="59">
        <f t="shared" si="65"/>
        <v>293.33333333333468</v>
      </c>
      <c r="CD99" s="59">
        <f ca="1">AVERAGE(OFFSET($CC$3,0,0,'Données projet'!$E$12+1,1))-AVERAGE(OFFSET($H$3,0,0,'Données projet'!$E$12+1,1))</f>
        <v>288.82868507674738</v>
      </c>
      <c r="CE99" s="59">
        <f t="shared" si="94"/>
        <v>283.48738729114024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0.50303573746589902</v>
      </c>
      <c r="CM99" s="21">
        <f>EXP(-LN(2)/2)*CM98+(1-EXP(-LN(2)/2))/(LN(2)/2)*CG99*CJ99*VLOOKUP('Données projet'!$B$12,Paramètres!$A$1:$I$89,3,0)*0.475*44/12</f>
        <v>3.8069060960931033E-10</v>
      </c>
      <c r="CN99" s="22">
        <f t="shared" si="66"/>
        <v>0.50303573784658961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-5.6843418860808015E-14</v>
      </c>
      <c r="CU99" s="17">
        <f>CT99*VLOOKUP('Données projet'!$B$13,Paramètres!$A$1:$I$89,3,0)*VLOOKUP('Données projet'!$B$13,Paramètres!$A$1:$I$89,5,0)</f>
        <v>-4.8771653382573282E-14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273.73158910361786</v>
      </c>
      <c r="CZ99" s="59">
        <f t="shared" si="96"/>
        <v>256.77417912163997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-3.4106051316484809E-13</v>
      </c>
      <c r="DP99" s="17">
        <f>DO99*VLOOKUP('Données projet'!$B$14,Paramètres!$A$1:$I$89,3,0)*VLOOKUP('Données projet'!$B$14,Paramètres!$A$1:$I$89,5,0)</f>
        <v>-1.9065282685915009E-13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534.78683721545372</v>
      </c>
      <c r="DU99" s="59">
        <f t="shared" si="98"/>
        <v>710.59298755711075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1.478941817554752</v>
      </c>
      <c r="EB99" s="21">
        <f>EXP(-LN(2)/25)*EB98+(1-EXP(-LN(2)/25))/(LN(2)/25)*Calculateur!DW99*Calculateur!DY99*VLOOKUP('Données projet'!$B$14,Paramètres!$A$1:$I$89,3,0)*0.475*44/12</f>
        <v>3.8812517478511426</v>
      </c>
      <c r="EC99" s="21">
        <f>EXP(-LN(2)/2)*EC98+(1-EXP(-LN(2)/2))/(LN(2)/2)*DW99*DZ99*VLOOKUP('Données projet'!$B$14,Paramètres!$A$1:$I$89,3,0)*0.475*44/12</f>
        <v>1.3620206215052291E-9</v>
      </c>
      <c r="ED99" s="22">
        <f t="shared" si="72"/>
        <v>5.360193566767915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5.6843418860808015E-14</v>
      </c>
      <c r="EK99" s="17">
        <f>EJ99*VLOOKUP('Données projet'!$B$15,Paramètres!$A$1:$I$89,3,0)*VLOOKUP('Données projet'!$B$15,Paramètres!$A$1:$I$89,5,0)</f>
        <v>4.9658410716801891E-14</v>
      </c>
      <c r="EL99" s="13">
        <f t="shared" si="99"/>
        <v>8.0934058173791862E-13</v>
      </c>
      <c r="EM99" s="20">
        <f t="shared" si="73"/>
        <v>1.4960899118586383E-12</v>
      </c>
      <c r="EN99" s="59">
        <f t="shared" si="74"/>
        <v>293.33333333333479</v>
      </c>
      <c r="EO99" s="59">
        <f ca="1">AVERAGE(OFFSET($EN$3,0,0,'Données projet'!$E$15+1,1))-AVERAGE(OFFSET($H$3,0,0,'Données projet'!$E$15+1,1))</f>
        <v>255.2813753128475</v>
      </c>
      <c r="EP99" s="59">
        <f t="shared" si="100"/>
        <v>317.03005098025352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1.5264534854095471</v>
      </c>
      <c r="EW99" s="21">
        <f>EXP(-LN(2)/25)*EW98+(1-EXP(-LN(2)/25))/(LN(2)/25)*Calculateur!ER99*Calculateur!ET99*VLOOKUP('Données projet'!$B$15,Paramètres!$A$1:$I$89,3,0)*0.475*44/12</f>
        <v>2.8292220482576282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4.3556755336671751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1.7053025658242404E-13</v>
      </c>
      <c r="O100" s="13">
        <f>N100*VLOOKUP('Données projet'!$B$9,Paramètres!$A$1:$I$89,3,0)*VLOOKUP('Données projet'!$B$9,Paramètres!$A$1:$I$89,5,0)</f>
        <v>1.250327841262333E-13</v>
      </c>
      <c r="P100" s="13">
        <f t="shared" si="87"/>
        <v>1.8301318724634299E-12</v>
      </c>
      <c r="Q100" s="20">
        <f t="shared" si="107"/>
        <v>3.405245110226996E-12</v>
      </c>
      <c r="R100" s="59">
        <f t="shared" si="55"/>
        <v>293.33333333333672</v>
      </c>
      <c r="S100" s="59">
        <f ca="1">AVERAGE(OFFSET($R$3,0,0,'Données projet'!$E$9+1,1))-AVERAGE(OFFSET($H$3,0,0,'Données projet'!$E$9+1,1))</f>
        <v>193.60868637458515</v>
      </c>
      <c r="T100" s="59">
        <f t="shared" si="88"/>
        <v>272.97841038165217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-1.3567387213697657E-13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281.79835088425858</v>
      </c>
      <c r="AO100" s="59">
        <f t="shared" si="90"/>
        <v>345.4750813433123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343.6089004382095</v>
      </c>
      <c r="BJ100" s="59">
        <f t="shared" si="92"/>
        <v>278.21741231699929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4.4337866711430253E-14</v>
      </c>
      <c r="CA100" s="13">
        <f t="shared" si="93"/>
        <v>7.3222115536967035E-13</v>
      </c>
      <c r="CB100" s="20">
        <f t="shared" si="64"/>
        <v>1.3525069634579169E-12</v>
      </c>
      <c r="CC100" s="59">
        <f t="shared" si="65"/>
        <v>293.33333333333468</v>
      </c>
      <c r="CD100" s="59">
        <f ca="1">AVERAGE(OFFSET($CC$3,0,0,'Données projet'!$E$12+1,1))-AVERAGE(OFFSET($H$3,0,0,'Données projet'!$E$12+1,1))</f>
        <v>288.82868507674738</v>
      </c>
      <c r="CE100" s="59">
        <f t="shared" si="94"/>
        <v>283.48738729114024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0.48928019877139428</v>
      </c>
      <c r="CM100" s="21">
        <f>EXP(-LN(2)/2)*CM99+(1-EXP(-LN(2)/2))/(LN(2)/2)*CG100*CJ100*VLOOKUP('Données projet'!$B$12,Paramètres!$A$1:$I$89,3,0)*0.475*44/12</f>
        <v>2.6918891158878398E-10</v>
      </c>
      <c r="CN100" s="22">
        <f t="shared" si="66"/>
        <v>0.48928019904058317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-5.6843418860808015E-14</v>
      </c>
      <c r="CU100" s="17">
        <f>CT100*VLOOKUP('Données projet'!$B$13,Paramètres!$A$1:$I$89,3,0)*VLOOKUP('Données projet'!$B$13,Paramètres!$A$1:$I$89,5,0)</f>
        <v>-4.8771653382573282E-14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273.73158910361786</v>
      </c>
      <c r="CZ100" s="59">
        <f t="shared" si="96"/>
        <v>256.77417912163997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-3.4106051316484809E-13</v>
      </c>
      <c r="DP100" s="17">
        <f>DO100*VLOOKUP('Données projet'!$B$14,Paramètres!$A$1:$I$89,3,0)*VLOOKUP('Données projet'!$B$14,Paramètres!$A$1:$I$89,5,0)</f>
        <v>-1.9065282685915009E-13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534.78683721545372</v>
      </c>
      <c r="DU100" s="59">
        <f t="shared" si="98"/>
        <v>710.59298755711075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1.4499406705779405</v>
      </c>
      <c r="EB100" s="21">
        <f>EXP(-LN(2)/25)*EB99+(1-EXP(-LN(2)/25))/(LN(2)/25)*Calculateur!DW100*Calculateur!DY100*VLOOKUP('Données projet'!$B$14,Paramètres!$A$1:$I$89,3,0)*0.475*44/12</f>
        <v>3.7751187146999943</v>
      </c>
      <c r="EC100" s="21">
        <f>EXP(-LN(2)/2)*EC99+(1-EXP(-LN(2)/2))/(LN(2)/2)*DW100*DZ100*VLOOKUP('Données projet'!$B$14,Paramètres!$A$1:$I$89,3,0)*0.475*44/12</f>
        <v>9.6309401758226351E-10</v>
      </c>
      <c r="ED100" s="22">
        <f t="shared" si="72"/>
        <v>5.2250593862410284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5.6843418860808015E-14</v>
      </c>
      <c r="EK100" s="17">
        <f>EJ100*VLOOKUP('Données projet'!$B$15,Paramètres!$A$1:$I$89,3,0)*VLOOKUP('Données projet'!$B$15,Paramètres!$A$1:$I$89,5,0)</f>
        <v>4.9658410716801891E-14</v>
      </c>
      <c r="EL100" s="13">
        <f t="shared" si="99"/>
        <v>8.0934058173791862E-13</v>
      </c>
      <c r="EM100" s="20">
        <f t="shared" si="73"/>
        <v>1.4960899118586383E-12</v>
      </c>
      <c r="EN100" s="59">
        <f t="shared" si="74"/>
        <v>293.33333333333479</v>
      </c>
      <c r="EO100" s="59">
        <f ca="1">AVERAGE(OFFSET($EN$3,0,0,'Données projet'!$E$15+1,1))-AVERAGE(OFFSET($H$3,0,0,'Données projet'!$E$15+1,1))</f>
        <v>255.2813753128475</v>
      </c>
      <c r="EP100" s="59">
        <f t="shared" si="100"/>
        <v>317.03005098025352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1.496520663605359</v>
      </c>
      <c r="EW100" s="21">
        <f>EXP(-LN(2)/25)*EW99+(1-EXP(-LN(2)/25))/(LN(2)/25)*Calculateur!ER100*Calculateur!ET100*VLOOKUP('Données projet'!$B$15,Paramètres!$A$1:$I$89,3,0)*0.475*44/12</f>
        <v>2.7518568225657023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4.2483774861710613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1.7053025658242404E-13</v>
      </c>
      <c r="O101" s="13">
        <f>N101*VLOOKUP('Données projet'!$B$9,Paramètres!$A$1:$I$89,3,0)*VLOOKUP('Données projet'!$B$9,Paramètres!$A$1:$I$89,5,0)</f>
        <v>1.250327841262333E-13</v>
      </c>
      <c r="P101" s="13">
        <f t="shared" si="87"/>
        <v>1.8301318724634299E-12</v>
      </c>
      <c r="Q101" s="20">
        <f t="shared" si="107"/>
        <v>3.405245110226996E-12</v>
      </c>
      <c r="R101" s="59">
        <f t="shared" si="55"/>
        <v>293.33333333333672</v>
      </c>
      <c r="S101" s="59">
        <f ca="1">AVERAGE(OFFSET($R$3,0,0,'Données projet'!$E$9+1,1))-AVERAGE(OFFSET($H$3,0,0,'Données projet'!$E$9+1,1))</f>
        <v>193.60868637458515</v>
      </c>
      <c r="T101" s="59">
        <f t="shared" si="88"/>
        <v>272.97841038165217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-1.3567387213697657E-13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281.79835088425858</v>
      </c>
      <c r="AO101" s="59">
        <f t="shared" si="90"/>
        <v>345.4750813433123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343.6089004382095</v>
      </c>
      <c r="BJ101" s="59">
        <f t="shared" si="92"/>
        <v>278.21741231699929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4.4337866711430253E-14</v>
      </c>
      <c r="CA101" s="13">
        <f t="shared" si="93"/>
        <v>7.3222115536967035E-13</v>
      </c>
      <c r="CB101" s="20">
        <f t="shared" si="64"/>
        <v>1.3525069634579169E-12</v>
      </c>
      <c r="CC101" s="59">
        <f t="shared" si="65"/>
        <v>293.33333333333468</v>
      </c>
      <c r="CD101" s="59">
        <f ca="1">AVERAGE(OFFSET($CC$3,0,0,'Données projet'!$E$12+1,1))-AVERAGE(OFFSET($H$3,0,0,'Données projet'!$E$12+1,1))</f>
        <v>288.82868507674738</v>
      </c>
      <c r="CE101" s="59">
        <f t="shared" si="94"/>
        <v>283.48738729114024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0.4759008060058631</v>
      </c>
      <c r="CM101" s="21">
        <f>EXP(-LN(2)/2)*CM100+(1-EXP(-LN(2)/2))/(LN(2)/2)*CG101*CJ101*VLOOKUP('Données projet'!$B$12,Paramètres!$A$1:$I$89,3,0)*0.475*44/12</f>
        <v>1.9034530480465516E-10</v>
      </c>
      <c r="CN101" s="22">
        <f t="shared" si="66"/>
        <v>0.47590080619620839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-5.6843418860808015E-14</v>
      </c>
      <c r="CU101" s="17">
        <f>CT101*VLOOKUP('Données projet'!$B$13,Paramètres!$A$1:$I$89,3,0)*VLOOKUP('Données projet'!$B$13,Paramètres!$A$1:$I$89,5,0)</f>
        <v>-4.8771653382573282E-14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273.73158910361786</v>
      </c>
      <c r="CZ101" s="59">
        <f t="shared" si="96"/>
        <v>256.77417912163997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-3.4106051316484809E-13</v>
      </c>
      <c r="DP101" s="17">
        <f>DO101*VLOOKUP('Données projet'!$B$14,Paramètres!$A$1:$I$89,3,0)*VLOOKUP('Données projet'!$B$14,Paramètres!$A$1:$I$89,5,0)</f>
        <v>-1.9065282685915009E-13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534.78683721545372</v>
      </c>
      <c r="DU101" s="59">
        <f t="shared" si="98"/>
        <v>710.59298755711075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1.4215082184043912</v>
      </c>
      <c r="EB101" s="21">
        <f>EXP(-LN(2)/25)*EB100+(1-EXP(-LN(2)/25))/(LN(2)/25)*Calculateur!DW101*Calculateur!DY101*VLOOKUP('Données projet'!$B$14,Paramètres!$A$1:$I$89,3,0)*0.475*44/12</f>
        <v>3.671887894921658</v>
      </c>
      <c r="EC101" s="21">
        <f>EXP(-LN(2)/2)*EC100+(1-EXP(-LN(2)/2))/(LN(2)/2)*DW101*DZ101*VLOOKUP('Données projet'!$B$14,Paramètres!$A$1:$I$89,3,0)*0.475*44/12</f>
        <v>6.8101031075261457E-10</v>
      </c>
      <c r="ED101" s="22">
        <f t="shared" si="72"/>
        <v>5.0933961140070592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5.6843418860808015E-14</v>
      </c>
      <c r="EK101" s="17">
        <f>EJ101*VLOOKUP('Données projet'!$B$15,Paramètres!$A$1:$I$89,3,0)*VLOOKUP('Données projet'!$B$15,Paramètres!$A$1:$I$89,5,0)</f>
        <v>4.9658410716801891E-14</v>
      </c>
      <c r="EL101" s="13">
        <f t="shared" si="99"/>
        <v>8.0934058173791862E-13</v>
      </c>
      <c r="EM101" s="20">
        <f t="shared" si="73"/>
        <v>1.4960899118586383E-12</v>
      </c>
      <c r="EN101" s="59">
        <f t="shared" si="74"/>
        <v>293.33333333333479</v>
      </c>
      <c r="EO101" s="59">
        <f ca="1">AVERAGE(OFFSET($EN$3,0,0,'Données projet'!$E$15+1,1))-AVERAGE(OFFSET($H$3,0,0,'Données projet'!$E$15+1,1))</f>
        <v>255.2813753128475</v>
      </c>
      <c r="EP101" s="59">
        <f t="shared" si="100"/>
        <v>317.03005098025352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1.4671748061795324</v>
      </c>
      <c r="EW101" s="21">
        <f>EXP(-LN(2)/25)*EW100+(1-EXP(-LN(2)/25))/(LN(2)/25)*Calculateur!ER101*Calculateur!ET101*VLOOKUP('Données projet'!$B$15,Paramètres!$A$1:$I$89,3,0)*0.475*44/12</f>
        <v>2.6766071530387823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4.1437819592183143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1.7053025658242404E-13</v>
      </c>
      <c r="O102" s="13">
        <f>N102*VLOOKUP('Données projet'!$B$9,Paramètres!$A$1:$I$89,3,0)*VLOOKUP('Données projet'!$B$9,Paramètres!$A$1:$I$89,5,0)</f>
        <v>1.250327841262333E-13</v>
      </c>
      <c r="P102" s="13">
        <f t="shared" si="87"/>
        <v>1.8301318724634299E-12</v>
      </c>
      <c r="Q102" s="20">
        <f t="shared" si="107"/>
        <v>3.405245110226996E-12</v>
      </c>
      <c r="R102" s="59">
        <f t="shared" si="55"/>
        <v>293.33333333333672</v>
      </c>
      <c r="S102" s="59">
        <f ca="1">AVERAGE(OFFSET($R$3,0,0,'Données projet'!$E$9+1,1))-AVERAGE(OFFSET($H$3,0,0,'Données projet'!$E$9+1,1))</f>
        <v>193.60868637458515</v>
      </c>
      <c r="T102" s="59">
        <f t="shared" si="88"/>
        <v>272.97841038165217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-1.3567387213697657E-13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281.79835088425858</v>
      </c>
      <c r="AO102" s="59">
        <f t="shared" si="90"/>
        <v>345.4750813433123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343.6089004382095</v>
      </c>
      <c r="BJ102" s="59">
        <f t="shared" si="92"/>
        <v>278.21741231699929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4.4337866711430253E-14</v>
      </c>
      <c r="CA102" s="13">
        <f t="shared" si="93"/>
        <v>7.3222115536967035E-13</v>
      </c>
      <c r="CB102" s="20">
        <f t="shared" si="64"/>
        <v>1.3525069634579169E-12</v>
      </c>
      <c r="CC102" s="59">
        <f t="shared" si="65"/>
        <v>293.33333333333468</v>
      </c>
      <c r="CD102" s="59">
        <f ca="1">AVERAGE(OFFSET($CC$3,0,0,'Données projet'!$E$12+1,1))-AVERAGE(OFFSET($H$3,0,0,'Données projet'!$E$12+1,1))</f>
        <v>288.82868507674738</v>
      </c>
      <c r="CE102" s="59">
        <f t="shared" si="94"/>
        <v>283.48738729114024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0.46288727343909708</v>
      </c>
      <c r="CM102" s="21">
        <f>EXP(-LN(2)/2)*CM101+(1-EXP(-LN(2)/2))/(LN(2)/2)*CG102*CJ102*VLOOKUP('Données projet'!$B$12,Paramètres!$A$1:$I$89,3,0)*0.475*44/12</f>
        <v>1.3459445579439199E-10</v>
      </c>
      <c r="CN102" s="22">
        <f t="shared" si="66"/>
        <v>0.46288727357369153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-5.6843418860808015E-14</v>
      </c>
      <c r="CU102" s="17">
        <f>CT102*VLOOKUP('Données projet'!$B$13,Paramètres!$A$1:$I$89,3,0)*VLOOKUP('Données projet'!$B$13,Paramètres!$A$1:$I$89,5,0)</f>
        <v>-4.8771653382573282E-14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273.73158910361786</v>
      </c>
      <c r="CZ102" s="59">
        <f t="shared" si="96"/>
        <v>256.77417912163997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-3.4106051316484809E-13</v>
      </c>
      <c r="DP102" s="17">
        <f>DO102*VLOOKUP('Données projet'!$B$14,Paramètres!$A$1:$I$89,3,0)*VLOOKUP('Données projet'!$B$14,Paramètres!$A$1:$I$89,5,0)</f>
        <v>-1.9065282685915009E-13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534.78683721545372</v>
      </c>
      <c r="DU102" s="59">
        <f t="shared" si="98"/>
        <v>710.59298755711075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1.3936333092758819</v>
      </c>
      <c r="EB102" s="21">
        <f>EXP(-LN(2)/25)*EB101+(1-EXP(-LN(2)/25))/(LN(2)/25)*Calculateur!DW102*Calculateur!DY102*VLOOKUP('Données projet'!$B$14,Paramètres!$A$1:$I$89,3,0)*0.475*44/12</f>
        <v>3.5714799273388329</v>
      </c>
      <c r="EC102" s="21">
        <f>EXP(-LN(2)/2)*EC101+(1-EXP(-LN(2)/2))/(LN(2)/2)*DW102*DZ102*VLOOKUP('Données projet'!$B$14,Paramètres!$A$1:$I$89,3,0)*0.475*44/12</f>
        <v>4.8154700879113176E-10</v>
      </c>
      <c r="ED102" s="22">
        <f t="shared" si="72"/>
        <v>4.9651132370962623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5.6843418860808015E-14</v>
      </c>
      <c r="EK102" s="17">
        <f>EJ102*VLOOKUP('Données projet'!$B$15,Paramètres!$A$1:$I$89,3,0)*VLOOKUP('Données projet'!$B$15,Paramètres!$A$1:$I$89,5,0)</f>
        <v>4.9658410716801891E-14</v>
      </c>
      <c r="EL102" s="13">
        <f t="shared" si="99"/>
        <v>8.0934058173791862E-13</v>
      </c>
      <c r="EM102" s="20">
        <f t="shared" si="73"/>
        <v>1.4960899118586383E-12</v>
      </c>
      <c r="EN102" s="59">
        <f t="shared" si="74"/>
        <v>293.33333333333479</v>
      </c>
      <c r="EO102" s="59">
        <f ca="1">AVERAGE(OFFSET($EN$3,0,0,'Données projet'!$E$15+1,1))-AVERAGE(OFFSET($H$3,0,0,'Données projet'!$E$15+1,1))</f>
        <v>255.2813753128475</v>
      </c>
      <c r="EP102" s="59">
        <f t="shared" si="100"/>
        <v>317.03005098025352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1.4384044031186207</v>
      </c>
      <c r="EW102" s="21">
        <f>EXP(-LN(2)/25)*EW101+(1-EXP(-LN(2)/25))/(LN(2)/25)*Calculateur!ER102*Calculateur!ET102*VLOOKUP('Données projet'!$B$15,Paramètres!$A$1:$I$89,3,0)*0.475*44/12</f>
        <v>2.6034151896822841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4.0418195928009046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1.7053025658242404E-13</v>
      </c>
      <c r="O103" s="13">
        <f>N103*VLOOKUP('Données projet'!$B$9,Paramètres!$A$1:$I$89,3,0)*VLOOKUP('Données projet'!$B$9,Paramètres!$A$1:$I$89,5,0)</f>
        <v>1.250327841262333E-13</v>
      </c>
      <c r="P103" s="13">
        <f t="shared" si="87"/>
        <v>1.8301318724634299E-12</v>
      </c>
      <c r="Q103" s="20">
        <f t="shared" si="107"/>
        <v>3.405245110226996E-12</v>
      </c>
      <c r="R103" s="59">
        <f t="shared" si="55"/>
        <v>293.33333333333672</v>
      </c>
      <c r="S103" s="59">
        <f ca="1">AVERAGE(OFFSET($R$3,0,0,'Données projet'!$E$9+1,1))-AVERAGE(OFFSET($H$3,0,0,'Données projet'!$E$9+1,1))</f>
        <v>193.60868637458515</v>
      </c>
      <c r="T103" s="59">
        <f t="shared" si="88"/>
        <v>272.97841038165217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-1.3567387213697657E-13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281.79835088425858</v>
      </c>
      <c r="AO103" s="59">
        <f t="shared" si="90"/>
        <v>345.4750813433123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343.6089004382095</v>
      </c>
      <c r="BJ103" s="59">
        <f t="shared" si="92"/>
        <v>278.21741231699929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4.4337866711430253E-14</v>
      </c>
      <c r="CA103" s="13">
        <f t="shared" si="93"/>
        <v>7.3222115536967035E-13</v>
      </c>
      <c r="CB103" s="20">
        <f t="shared" si="64"/>
        <v>1.3525069634579169E-12</v>
      </c>
      <c r="CC103" s="59">
        <f t="shared" si="65"/>
        <v>293.33333333333468</v>
      </c>
      <c r="CD103" s="59">
        <f ca="1">AVERAGE(OFFSET($CC$3,0,0,'Données projet'!$E$12+1,1))-AVERAGE(OFFSET($H$3,0,0,'Données projet'!$E$12+1,1))</f>
        <v>288.82868507674738</v>
      </c>
      <c r="CE103" s="59">
        <f t="shared" si="94"/>
        <v>283.48738729114024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0.45022959660472123</v>
      </c>
      <c r="CM103" s="21">
        <f>EXP(-LN(2)/2)*CM102+(1-EXP(-LN(2)/2))/(LN(2)/2)*CG103*CJ103*VLOOKUP('Données projet'!$B$12,Paramètres!$A$1:$I$89,3,0)*0.475*44/12</f>
        <v>9.5172652402327582E-11</v>
      </c>
      <c r="CN103" s="22">
        <f t="shared" si="66"/>
        <v>0.45022959669989387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-5.6843418860808015E-14</v>
      </c>
      <c r="CU103" s="17">
        <f>CT103*VLOOKUP('Données projet'!$B$13,Paramètres!$A$1:$I$89,3,0)*VLOOKUP('Données projet'!$B$13,Paramètres!$A$1:$I$89,5,0)</f>
        <v>-4.8771653382573282E-14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273.73158910361786</v>
      </c>
      <c r="CZ103" s="59">
        <f t="shared" si="96"/>
        <v>256.77417912163997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-3.4106051316484809E-13</v>
      </c>
      <c r="DP103" s="17">
        <f>DO103*VLOOKUP('Données projet'!$B$14,Paramètres!$A$1:$I$89,3,0)*VLOOKUP('Données projet'!$B$14,Paramètres!$A$1:$I$89,5,0)</f>
        <v>-1.9065282685915009E-13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534.78683721545372</v>
      </c>
      <c r="DU103" s="59">
        <f t="shared" si="98"/>
        <v>710.59298755711075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1.3663050101133669</v>
      </c>
      <c r="EB103" s="21">
        <f>EXP(-LN(2)/25)*EB102+(1-EXP(-LN(2)/25))/(LN(2)/25)*Calculateur!DW103*Calculateur!DY103*VLOOKUP('Données projet'!$B$14,Paramètres!$A$1:$I$89,3,0)*0.475*44/12</f>
        <v>3.4738176209097857</v>
      </c>
      <c r="EC103" s="21">
        <f>EXP(-LN(2)/2)*EC102+(1-EXP(-LN(2)/2))/(LN(2)/2)*DW103*DZ103*VLOOKUP('Données projet'!$B$14,Paramètres!$A$1:$I$89,3,0)*0.475*44/12</f>
        <v>3.4050515537630728E-10</v>
      </c>
      <c r="ED103" s="22">
        <f t="shared" si="72"/>
        <v>4.8401226313636583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5.6843418860808015E-14</v>
      </c>
      <c r="EK103" s="17">
        <f>EJ103*VLOOKUP('Données projet'!$B$15,Paramètres!$A$1:$I$89,3,0)*VLOOKUP('Données projet'!$B$15,Paramètres!$A$1:$I$89,5,0)</f>
        <v>4.9658410716801891E-14</v>
      </c>
      <c r="EL103" s="13">
        <f t="shared" si="99"/>
        <v>8.0934058173791862E-13</v>
      </c>
      <c r="EM103" s="20">
        <f t="shared" si="73"/>
        <v>1.4960899118586383E-12</v>
      </c>
      <c r="EN103" s="59">
        <f t="shared" si="74"/>
        <v>293.33333333333479</v>
      </c>
      <c r="EO103" s="59">
        <f ca="1">AVERAGE(OFFSET($EN$3,0,0,'Données projet'!$E$15+1,1))-AVERAGE(OFFSET($H$3,0,0,'Données projet'!$E$15+1,1))</f>
        <v>255.2813753128475</v>
      </c>
      <c r="EP103" s="59">
        <f t="shared" si="100"/>
        <v>317.03005098025352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1.4101981701135204</v>
      </c>
      <c r="EW103" s="21">
        <f>EXP(-LN(2)/25)*EW102+(1-EXP(-LN(2)/25))/(LN(2)/25)*Calculateur!ER103*Calculateur!ET103*VLOOKUP('Données projet'!$B$15,Paramètres!$A$1:$I$89,3,0)*0.475*44/12</f>
        <v>2.5322246644127673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3.9424228345262877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1.7053025658242404E-13</v>
      </c>
      <c r="O104" s="13">
        <f>N104*VLOOKUP('Données projet'!$B$9,Paramètres!$A$1:$I$89,3,0)*VLOOKUP('Données projet'!$B$9,Paramètres!$A$1:$I$89,5,0)</f>
        <v>1.250327841262333E-13</v>
      </c>
      <c r="P104" s="13">
        <f t="shared" si="87"/>
        <v>1.8301318724634299E-12</v>
      </c>
      <c r="Q104" s="20">
        <f t="shared" si="107"/>
        <v>3.405245110226996E-12</v>
      </c>
      <c r="R104" s="59">
        <f t="shared" si="55"/>
        <v>293.33333333333672</v>
      </c>
      <c r="S104" s="59">
        <f ca="1">AVERAGE(OFFSET($R$3,0,0,'Données projet'!$E$9+1,1))-AVERAGE(OFFSET($H$3,0,0,'Données projet'!$E$9+1,1))</f>
        <v>193.60868637458515</v>
      </c>
      <c r="T104" s="59">
        <f t="shared" si="88"/>
        <v>272.97841038165217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-1.3567387213697657E-13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281.79835088425858</v>
      </c>
      <c r="AO104" s="59">
        <f t="shared" si="90"/>
        <v>345.4750813433123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343.6089004382095</v>
      </c>
      <c r="BJ104" s="59">
        <f t="shared" si="92"/>
        <v>278.21741231699929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4.4337866711430253E-14</v>
      </c>
      <c r="CA104" s="13">
        <f t="shared" si="93"/>
        <v>7.3222115536967035E-13</v>
      </c>
      <c r="CB104" s="20">
        <f t="shared" si="64"/>
        <v>1.3525069634579169E-12</v>
      </c>
      <c r="CC104" s="59">
        <f t="shared" si="65"/>
        <v>293.33333333333468</v>
      </c>
      <c r="CD104" s="59">
        <f ca="1">AVERAGE(OFFSET($CC$3,0,0,'Données projet'!$E$12+1,1))-AVERAGE(OFFSET($H$3,0,0,'Données projet'!$E$12+1,1))</f>
        <v>288.82868507674738</v>
      </c>
      <c r="CE104" s="59">
        <f t="shared" si="94"/>
        <v>283.48738729114024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0.43791804460901967</v>
      </c>
      <c r="CM104" s="21">
        <f>EXP(-LN(2)/2)*CM103+(1-EXP(-LN(2)/2))/(LN(2)/2)*CG104*CJ104*VLOOKUP('Données projet'!$B$12,Paramètres!$A$1:$I$89,3,0)*0.475*44/12</f>
        <v>6.7297227897195995E-11</v>
      </c>
      <c r="CN104" s="22">
        <f t="shared" si="66"/>
        <v>0.4379180446763169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-5.6843418860808015E-14</v>
      </c>
      <c r="CU104" s="17">
        <f>CT104*VLOOKUP('Données projet'!$B$13,Paramètres!$A$1:$I$89,3,0)*VLOOKUP('Données projet'!$B$13,Paramètres!$A$1:$I$89,5,0)</f>
        <v>-4.8771653382573282E-14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273.73158910361786</v>
      </c>
      <c r="CZ104" s="59">
        <f t="shared" si="96"/>
        <v>256.77417912163997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-3.4106051316484809E-13</v>
      </c>
      <c r="DP104" s="17">
        <f>DO104*VLOOKUP('Données projet'!$B$14,Paramètres!$A$1:$I$89,3,0)*VLOOKUP('Données projet'!$B$14,Paramètres!$A$1:$I$89,5,0)</f>
        <v>-1.9065282685915009E-13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534.78683721545372</v>
      </c>
      <c r="DU104" s="59">
        <f t="shared" si="98"/>
        <v>710.59298755711075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1.3395126022288122</v>
      </c>
      <c r="EB104" s="21">
        <f>EXP(-LN(2)/25)*EB103+(1-EXP(-LN(2)/25))/(LN(2)/25)*Calculateur!DW104*Calculateur!DY104*VLOOKUP('Données projet'!$B$14,Paramètres!$A$1:$I$89,3,0)*0.475*44/12</f>
        <v>3.3788258953858783</v>
      </c>
      <c r="EC104" s="21">
        <f>EXP(-LN(2)/2)*EC103+(1-EXP(-LN(2)/2))/(LN(2)/2)*DW104*DZ104*VLOOKUP('Données projet'!$B$14,Paramètres!$A$1:$I$89,3,0)*0.475*44/12</f>
        <v>2.4077350439556588E-10</v>
      </c>
      <c r="ED104" s="22">
        <f t="shared" si="72"/>
        <v>4.7183384978554637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5.6843418860808015E-14</v>
      </c>
      <c r="EK104" s="17">
        <f>EJ104*VLOOKUP('Données projet'!$B$15,Paramètres!$A$1:$I$89,3,0)*VLOOKUP('Données projet'!$B$15,Paramètres!$A$1:$I$89,5,0)</f>
        <v>4.9658410716801891E-14</v>
      </c>
      <c r="EL104" s="13">
        <f t="shared" si="99"/>
        <v>8.0934058173791862E-13</v>
      </c>
      <c r="EM104" s="20">
        <f t="shared" si="73"/>
        <v>1.4960899118586383E-12</v>
      </c>
      <c r="EN104" s="59">
        <f t="shared" si="74"/>
        <v>293.33333333333479</v>
      </c>
      <c r="EO104" s="59">
        <f ca="1">AVERAGE(OFFSET($EN$3,0,0,'Données projet'!$E$15+1,1))-AVERAGE(OFFSET($H$3,0,0,'Données projet'!$E$15+1,1))</f>
        <v>255.2813753128475</v>
      </c>
      <c r="EP104" s="59">
        <f t="shared" si="100"/>
        <v>317.03005098025352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1.3825450441335467</v>
      </c>
      <c r="EW104" s="21">
        <f>EXP(-LN(2)/25)*EW103+(1-EXP(-LN(2)/25))/(LN(2)/25)*Calculateur!ER104*Calculateur!ET104*VLOOKUP('Données projet'!$B$15,Paramètres!$A$1:$I$89,3,0)*0.475*44/12</f>
        <v>2.4629808478004924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3.8455258919340389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1.7053025658242404E-13</v>
      </c>
      <c r="O105" s="13">
        <f>N105*VLOOKUP('Données projet'!$B$9,Paramètres!$A$1:$I$89,3,0)*VLOOKUP('Données projet'!$B$9,Paramètres!$A$1:$I$89,5,0)</f>
        <v>1.250327841262333E-13</v>
      </c>
      <c r="P105" s="13">
        <f t="shared" si="87"/>
        <v>1.8301318724634299E-12</v>
      </c>
      <c r="Q105" s="20">
        <f t="shared" si="107"/>
        <v>3.405245110226996E-12</v>
      </c>
      <c r="R105" s="59">
        <f t="shared" si="55"/>
        <v>293.33333333333672</v>
      </c>
      <c r="S105" s="59">
        <f ca="1">AVERAGE(OFFSET($R$3,0,0,'Données projet'!$E$9+1,1))-AVERAGE(OFFSET($H$3,0,0,'Données projet'!$E$9+1,1))</f>
        <v>193.60868637458515</v>
      </c>
      <c r="T105" s="59">
        <f t="shared" si="88"/>
        <v>272.97841038165217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-1.3567387213697657E-13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281.79835088425858</v>
      </c>
      <c r="AO105" s="59">
        <f t="shared" si="90"/>
        <v>345.4750813433123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343.6089004382095</v>
      </c>
      <c r="BJ105" s="59">
        <f t="shared" si="92"/>
        <v>278.21741231699929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4.4337866711430253E-14</v>
      </c>
      <c r="CA105" s="13">
        <f t="shared" si="93"/>
        <v>7.3222115536967035E-13</v>
      </c>
      <c r="CB105" s="20">
        <f t="shared" si="64"/>
        <v>1.3525069634579169E-12</v>
      </c>
      <c r="CC105" s="59">
        <f t="shared" si="65"/>
        <v>293.33333333333468</v>
      </c>
      <c r="CD105" s="59">
        <f ca="1">AVERAGE(OFFSET($CC$3,0,0,'Données projet'!$E$12+1,1))-AVERAGE(OFFSET($H$3,0,0,'Données projet'!$E$12+1,1))</f>
        <v>288.82868507674738</v>
      </c>
      <c r="CE105" s="59">
        <f t="shared" si="94"/>
        <v>283.48738729114024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0.42594315265007693</v>
      </c>
      <c r="CM105" s="21">
        <f>EXP(-LN(2)/2)*CM104+(1-EXP(-LN(2)/2))/(LN(2)/2)*CG105*CJ105*VLOOKUP('Données projet'!$B$12,Paramètres!$A$1:$I$89,3,0)*0.475*44/12</f>
        <v>4.7586326201163791E-11</v>
      </c>
      <c r="CN105" s="22">
        <f t="shared" si="66"/>
        <v>0.42594315269766325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-5.6843418860808015E-14</v>
      </c>
      <c r="CU105" s="17">
        <f>CT105*VLOOKUP('Données projet'!$B$13,Paramètres!$A$1:$I$89,3,0)*VLOOKUP('Données projet'!$B$13,Paramètres!$A$1:$I$89,5,0)</f>
        <v>-4.8771653382573282E-14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273.73158910361786</v>
      </c>
      <c r="CZ105" s="59">
        <f t="shared" si="96"/>
        <v>256.77417912163997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-3.4106051316484809E-13</v>
      </c>
      <c r="DP105" s="17">
        <f>DO105*VLOOKUP('Données projet'!$B$14,Paramètres!$A$1:$I$89,3,0)*VLOOKUP('Données projet'!$B$14,Paramètres!$A$1:$I$89,5,0)</f>
        <v>-1.9065282685915009E-13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534.78683721545372</v>
      </c>
      <c r="DU105" s="59">
        <f t="shared" si="98"/>
        <v>710.59298755711075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1.3132455771211182</v>
      </c>
      <c r="EB105" s="21">
        <f>EXP(-LN(2)/25)*EB104+(1-EXP(-LN(2)/25))/(LN(2)/25)*Calculateur!DW105*Calculateur!DY105*VLOOKUP('Données projet'!$B$14,Paramètres!$A$1:$I$89,3,0)*0.475*44/12</f>
        <v>3.2864317235918201</v>
      </c>
      <c r="EC105" s="21">
        <f>EXP(-LN(2)/2)*EC104+(1-EXP(-LN(2)/2))/(LN(2)/2)*DW105*DZ105*VLOOKUP('Données projet'!$B$14,Paramètres!$A$1:$I$89,3,0)*0.475*44/12</f>
        <v>1.7025257768815364E-10</v>
      </c>
      <c r="ED105" s="22">
        <f t="shared" si="72"/>
        <v>4.599677300883191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5.6843418860808015E-14</v>
      </c>
      <c r="EK105" s="17">
        <f>EJ105*VLOOKUP('Données projet'!$B$15,Paramètres!$A$1:$I$89,3,0)*VLOOKUP('Données projet'!$B$15,Paramètres!$A$1:$I$89,5,0)</f>
        <v>4.9658410716801891E-14</v>
      </c>
      <c r="EL105" s="13">
        <f t="shared" si="99"/>
        <v>8.0934058173791862E-13</v>
      </c>
      <c r="EM105" s="20">
        <f t="shared" si="73"/>
        <v>1.4960899118586383E-12</v>
      </c>
      <c r="EN105" s="59">
        <f t="shared" si="74"/>
        <v>293.33333333333479</v>
      </c>
      <c r="EO105" s="59">
        <f ca="1">AVERAGE(OFFSET($EN$3,0,0,'Données projet'!$E$15+1,1))-AVERAGE(OFFSET($H$3,0,0,'Données projet'!$E$15+1,1))</f>
        <v>255.2813753128475</v>
      </c>
      <c r="EP105" s="59">
        <f t="shared" si="100"/>
        <v>317.03005098025352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1.3554341790872988</v>
      </c>
      <c r="EW105" s="21">
        <f>EXP(-LN(2)/25)*EW104+(1-EXP(-LN(2)/25))/(LN(2)/25)*Calculateur!ER105*Calculateur!ET105*VLOOKUP('Données projet'!$B$15,Paramètres!$A$1:$I$89,3,0)*0.475*44/12</f>
        <v>2.3956305069948542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3.7510646860821533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1.7053025658242404E-13</v>
      </c>
      <c r="O106" s="13">
        <f>N106*VLOOKUP('Données projet'!$B$9,Paramètres!$A$1:$I$89,3,0)*VLOOKUP('Données projet'!$B$9,Paramètres!$A$1:$I$89,5,0)</f>
        <v>1.250327841262333E-13</v>
      </c>
      <c r="P106" s="13">
        <f t="shared" si="87"/>
        <v>1.8301318724634299E-12</v>
      </c>
      <c r="Q106" s="20">
        <f t="shared" si="107"/>
        <v>3.405245110226996E-12</v>
      </c>
      <c r="R106" s="59">
        <f t="shared" si="55"/>
        <v>293.33333333333672</v>
      </c>
      <c r="S106" s="59">
        <f ca="1">AVERAGE(OFFSET($R$3,0,0,'Données projet'!$E$9+1,1))-AVERAGE(OFFSET($H$3,0,0,'Données projet'!$E$9+1,1))</f>
        <v>193.60868637458515</v>
      </c>
      <c r="T106" s="59">
        <f t="shared" si="88"/>
        <v>272.97841038165217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-1.3567387213697657E-13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281.79835088425858</v>
      </c>
      <c r="AO106" s="59">
        <f t="shared" si="90"/>
        <v>345.4750813433123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343.6089004382095</v>
      </c>
      <c r="BJ106" s="59">
        <f t="shared" si="92"/>
        <v>278.21741231699929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4.4337866711430253E-14</v>
      </c>
      <c r="CA106" s="13">
        <f t="shared" si="93"/>
        <v>7.3222115536967035E-13</v>
      </c>
      <c r="CB106" s="20">
        <f t="shared" si="64"/>
        <v>1.3525069634579169E-12</v>
      </c>
      <c r="CC106" s="59">
        <f t="shared" si="65"/>
        <v>293.33333333333468</v>
      </c>
      <c r="CD106" s="59">
        <f ca="1">AVERAGE(OFFSET($CC$3,0,0,'Données projet'!$E$12+1,1))-AVERAGE(OFFSET($H$3,0,0,'Données projet'!$E$12+1,1))</f>
        <v>288.82868507674738</v>
      </c>
      <c r="CE106" s="59">
        <f t="shared" si="94"/>
        <v>283.48738729114024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0.41429571474148369</v>
      </c>
      <c r="CM106" s="21">
        <f>EXP(-LN(2)/2)*CM105+(1-EXP(-LN(2)/2))/(LN(2)/2)*CG106*CJ106*VLOOKUP('Données projet'!$B$12,Paramètres!$A$1:$I$89,3,0)*0.475*44/12</f>
        <v>3.3648613948597998E-11</v>
      </c>
      <c r="CN106" s="22">
        <f t="shared" si="66"/>
        <v>0.41429571477513233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-5.6843418860808015E-14</v>
      </c>
      <c r="CU106" s="17">
        <f>CT106*VLOOKUP('Données projet'!$B$13,Paramètres!$A$1:$I$89,3,0)*VLOOKUP('Données projet'!$B$13,Paramètres!$A$1:$I$89,5,0)</f>
        <v>-4.8771653382573282E-14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273.73158910361786</v>
      </c>
      <c r="CZ106" s="59">
        <f t="shared" si="96"/>
        <v>256.77417912163997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-3.4106051316484809E-13</v>
      </c>
      <c r="DP106" s="17">
        <f>DO106*VLOOKUP('Données projet'!$B$14,Paramètres!$A$1:$I$89,3,0)*VLOOKUP('Données projet'!$B$14,Paramètres!$A$1:$I$89,5,0)</f>
        <v>-1.9065282685915009E-13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534.78683721545372</v>
      </c>
      <c r="DU106" s="59">
        <f t="shared" si="98"/>
        <v>710.59298755711075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1.287493632354483</v>
      </c>
      <c r="EB106" s="21">
        <f>EXP(-LN(2)/25)*EB105+(1-EXP(-LN(2)/25))/(LN(2)/25)*Calculateur!DW106*Calculateur!DY106*VLOOKUP('Données projet'!$B$14,Paramètres!$A$1:$I$89,3,0)*0.475*44/12</f>
        <v>3.1965640752842686</v>
      </c>
      <c r="EC106" s="21">
        <f>EXP(-LN(2)/2)*EC105+(1-EXP(-LN(2)/2))/(LN(2)/2)*DW106*DZ106*VLOOKUP('Données projet'!$B$14,Paramètres!$A$1:$I$89,3,0)*0.475*44/12</f>
        <v>1.2038675219778294E-10</v>
      </c>
      <c r="ED106" s="22">
        <f t="shared" si="72"/>
        <v>4.4840577077591375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5.6843418860808015E-14</v>
      </c>
      <c r="EK106" s="17">
        <f>EJ106*VLOOKUP('Données projet'!$B$15,Paramètres!$A$1:$I$89,3,0)*VLOOKUP('Données projet'!$B$15,Paramètres!$A$1:$I$89,5,0)</f>
        <v>4.9658410716801891E-14</v>
      </c>
      <c r="EL106" s="13">
        <f t="shared" si="99"/>
        <v>8.0934058173791862E-13</v>
      </c>
      <c r="EM106" s="20">
        <f t="shared" si="73"/>
        <v>1.4960899118586383E-12</v>
      </c>
      <c r="EN106" s="59">
        <f t="shared" si="74"/>
        <v>293.33333333333479</v>
      </c>
      <c r="EO106" s="59">
        <f ca="1">AVERAGE(OFFSET($EN$3,0,0,'Données projet'!$E$15+1,1))-AVERAGE(OFFSET($H$3,0,0,'Données projet'!$E$15+1,1))</f>
        <v>255.2813753128475</v>
      </c>
      <c r="EP106" s="59">
        <f t="shared" si="100"/>
        <v>317.03005098025352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1.3288549415686131</v>
      </c>
      <c r="EW106" s="21">
        <f>EXP(-LN(2)/25)*EW105+(1-EXP(-LN(2)/25))/(LN(2)/25)*Calculateur!ER106*Calculateur!ET106*VLOOKUP('Données projet'!$B$15,Paramètres!$A$1:$I$89,3,0)*0.475*44/12</f>
        <v>2.330121864800347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3.6589768063689601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1.7053025658242404E-13</v>
      </c>
      <c r="O107" s="13">
        <f>N107*VLOOKUP('Données projet'!$B$9,Paramètres!$A$1:$I$89,3,0)*VLOOKUP('Données projet'!$B$9,Paramètres!$A$1:$I$89,5,0)</f>
        <v>1.250327841262333E-13</v>
      </c>
      <c r="P107" s="13">
        <f t="shared" si="87"/>
        <v>1.8301318724634299E-12</v>
      </c>
      <c r="Q107" s="20">
        <f t="shared" si="107"/>
        <v>3.405245110226996E-12</v>
      </c>
      <c r="R107" s="59">
        <f t="shared" si="55"/>
        <v>293.33333333333672</v>
      </c>
      <c r="S107" s="59">
        <f ca="1">AVERAGE(OFFSET($R$3,0,0,'Données projet'!$E$9+1,1))-AVERAGE(OFFSET($H$3,0,0,'Données projet'!$E$9+1,1))</f>
        <v>193.60868637458515</v>
      </c>
      <c r="T107" s="59">
        <f t="shared" si="88"/>
        <v>272.97841038165217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-1.3567387213697657E-13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281.79835088425858</v>
      </c>
      <c r="AO107" s="59">
        <f t="shared" si="90"/>
        <v>345.4750813433123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343.6089004382095</v>
      </c>
      <c r="BJ107" s="59">
        <f t="shared" si="92"/>
        <v>278.21741231699929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4.4337866711430253E-14</v>
      </c>
      <c r="CA107" s="13">
        <f t="shared" si="93"/>
        <v>7.3222115536967035E-13</v>
      </c>
      <c r="CB107" s="20">
        <f t="shared" si="64"/>
        <v>1.3525069634579169E-12</v>
      </c>
      <c r="CC107" s="59">
        <f t="shared" si="65"/>
        <v>293.33333333333468</v>
      </c>
      <c r="CD107" s="59">
        <f ca="1">AVERAGE(OFFSET($CC$3,0,0,'Données projet'!$E$12+1,1))-AVERAGE(OFFSET($H$3,0,0,'Données projet'!$E$12+1,1))</f>
        <v>288.82868507674738</v>
      </c>
      <c r="CE107" s="59">
        <f t="shared" si="94"/>
        <v>283.48738729114024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0.40296677663501307</v>
      </c>
      <c r="CM107" s="21">
        <f>EXP(-LN(2)/2)*CM106+(1-EXP(-LN(2)/2))/(LN(2)/2)*CG107*CJ107*VLOOKUP('Données projet'!$B$12,Paramètres!$A$1:$I$89,3,0)*0.475*44/12</f>
        <v>2.3793163100581895E-11</v>
      </c>
      <c r="CN107" s="22">
        <f t="shared" si="66"/>
        <v>0.40296677665880626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-5.6843418860808015E-14</v>
      </c>
      <c r="CU107" s="17">
        <f>CT107*VLOOKUP('Données projet'!$B$13,Paramètres!$A$1:$I$89,3,0)*VLOOKUP('Données projet'!$B$13,Paramètres!$A$1:$I$89,5,0)</f>
        <v>-4.8771653382573282E-14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273.73158910361786</v>
      </c>
      <c r="CZ107" s="59">
        <f t="shared" si="96"/>
        <v>256.77417912163997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-3.4106051316484809E-13</v>
      </c>
      <c r="DP107" s="17">
        <f>DO107*VLOOKUP('Données projet'!$B$14,Paramètres!$A$1:$I$89,3,0)*VLOOKUP('Données projet'!$B$14,Paramètres!$A$1:$I$89,5,0)</f>
        <v>-1.9065282685915009E-13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534.78683721545372</v>
      </c>
      <c r="DU107" s="59">
        <f t="shared" si="98"/>
        <v>710.59298755711075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1.2622466675175861</v>
      </c>
      <c r="EB107" s="21">
        <f>EXP(-LN(2)/25)*EB106+(1-EXP(-LN(2)/25))/(LN(2)/25)*Calculateur!DW107*Calculateur!DY107*VLOOKUP('Données projet'!$B$14,Paramètres!$A$1:$I$89,3,0)*0.475*44/12</f>
        <v>3.1091538625456212</v>
      </c>
      <c r="EC107" s="21">
        <f>EXP(-LN(2)/2)*EC106+(1-EXP(-LN(2)/2))/(LN(2)/2)*DW107*DZ107*VLOOKUP('Données projet'!$B$14,Paramètres!$A$1:$I$89,3,0)*0.475*44/12</f>
        <v>8.5126288844076821E-11</v>
      </c>
      <c r="ED107" s="22">
        <f t="shared" si="72"/>
        <v>4.3714005301483336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5.6843418860808015E-14</v>
      </c>
      <c r="EK107" s="17">
        <f>EJ107*VLOOKUP('Données projet'!$B$15,Paramètres!$A$1:$I$89,3,0)*VLOOKUP('Données projet'!$B$15,Paramètres!$A$1:$I$89,5,0)</f>
        <v>4.9658410716801891E-14</v>
      </c>
      <c r="EL107" s="13">
        <f t="shared" si="99"/>
        <v>8.0934058173791862E-13</v>
      </c>
      <c r="EM107" s="20">
        <f t="shared" si="73"/>
        <v>1.4960899118586383E-12</v>
      </c>
      <c r="EN107" s="59">
        <f t="shared" si="74"/>
        <v>293.33333333333479</v>
      </c>
      <c r="EO107" s="59">
        <f ca="1">AVERAGE(OFFSET($EN$3,0,0,'Données projet'!$E$15+1,1))-AVERAGE(OFFSET($H$3,0,0,'Données projet'!$E$15+1,1))</f>
        <v>255.2813753128475</v>
      </c>
      <c r="EP107" s="59">
        <f t="shared" si="100"/>
        <v>317.03005098025352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1.3027969066859346</v>
      </c>
      <c r="EW107" s="21">
        <f>EXP(-LN(2)/25)*EW106+(1-EXP(-LN(2)/25))/(LN(2)/25)*Calculateur!ER107*Calculateur!ET107*VLOOKUP('Données projet'!$B$15,Paramètres!$A$1:$I$89,3,0)*0.475*44/12</f>
        <v>2.2664045598715981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3.5692014665575327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1.7053025658242404E-13</v>
      </c>
      <c r="O108" s="13">
        <f>N108*VLOOKUP('Données projet'!$B$9,Paramètres!$A$1:$I$89,3,0)*VLOOKUP('Données projet'!$B$9,Paramètres!$A$1:$I$89,5,0)</f>
        <v>1.250327841262333E-13</v>
      </c>
      <c r="P108" s="13">
        <f t="shared" si="87"/>
        <v>1.8301318724634299E-12</v>
      </c>
      <c r="Q108" s="20">
        <f t="shared" si="107"/>
        <v>3.405245110226996E-12</v>
      </c>
      <c r="R108" s="59">
        <f t="shared" si="55"/>
        <v>293.33333333333672</v>
      </c>
      <c r="S108" s="59">
        <f ca="1">AVERAGE(OFFSET($R$3,0,0,'Données projet'!$E$9+1,1))-AVERAGE(OFFSET($H$3,0,0,'Données projet'!$E$9+1,1))</f>
        <v>193.60868637458515</v>
      </c>
      <c r="T108" s="59">
        <f t="shared" si="88"/>
        <v>272.97841038165217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-1.3567387213697657E-13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281.79835088425858</v>
      </c>
      <c r="AO108" s="59">
        <f t="shared" si="90"/>
        <v>345.4750813433123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343.6089004382095</v>
      </c>
      <c r="BJ108" s="59">
        <f t="shared" si="92"/>
        <v>278.21741231699929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4.4337866711430253E-14</v>
      </c>
      <c r="CA108" s="13">
        <f t="shared" si="93"/>
        <v>7.3222115536967035E-13</v>
      </c>
      <c r="CB108" s="20">
        <f t="shared" si="64"/>
        <v>1.3525069634579169E-12</v>
      </c>
      <c r="CC108" s="59">
        <f t="shared" si="65"/>
        <v>293.33333333333468</v>
      </c>
      <c r="CD108" s="59">
        <f ca="1">AVERAGE(OFFSET($CC$3,0,0,'Données projet'!$E$12+1,1))-AVERAGE(OFFSET($H$3,0,0,'Données projet'!$E$12+1,1))</f>
        <v>288.82868507674738</v>
      </c>
      <c r="CE108" s="59">
        <f t="shared" si="94"/>
        <v>283.48738729114024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0.39194762893682683</v>
      </c>
      <c r="CM108" s="21">
        <f>EXP(-LN(2)/2)*CM107+(1-EXP(-LN(2)/2))/(LN(2)/2)*CG108*CJ108*VLOOKUP('Données projet'!$B$12,Paramètres!$A$1:$I$89,3,0)*0.475*44/12</f>
        <v>1.6824306974298999E-11</v>
      </c>
      <c r="CN108" s="22">
        <f t="shared" si="66"/>
        <v>0.39194762895365115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-5.6843418860808015E-14</v>
      </c>
      <c r="CU108" s="17">
        <f>CT108*VLOOKUP('Données projet'!$B$13,Paramètres!$A$1:$I$89,3,0)*VLOOKUP('Données projet'!$B$13,Paramètres!$A$1:$I$89,5,0)</f>
        <v>-4.8771653382573282E-14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273.73158910361786</v>
      </c>
      <c r="CZ108" s="59">
        <f t="shared" si="96"/>
        <v>256.77417912163997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-3.4106051316484809E-13</v>
      </c>
      <c r="DP108" s="17">
        <f>DO108*VLOOKUP('Données projet'!$B$14,Paramètres!$A$1:$I$89,3,0)*VLOOKUP('Données projet'!$B$14,Paramètres!$A$1:$I$89,5,0)</f>
        <v>-1.9065282685915009E-13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534.78683721545372</v>
      </c>
      <c r="DU108" s="59">
        <f t="shared" si="98"/>
        <v>710.59298755711075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1.2374947802620127</v>
      </c>
      <c r="EB108" s="21">
        <f>EXP(-LN(2)/25)*EB107+(1-EXP(-LN(2)/25))/(LN(2)/25)*Calculateur!DW108*Calculateur!DY108*VLOOKUP('Données projet'!$B$14,Paramètres!$A$1:$I$89,3,0)*0.475*44/12</f>
        <v>3.0241338866710157</v>
      </c>
      <c r="EC108" s="21">
        <f>EXP(-LN(2)/2)*EC107+(1-EXP(-LN(2)/2))/(LN(2)/2)*DW108*DZ108*VLOOKUP('Données projet'!$B$14,Paramètres!$A$1:$I$89,3,0)*0.475*44/12</f>
        <v>6.019337609889147E-11</v>
      </c>
      <c r="ED108" s="22">
        <f t="shared" si="72"/>
        <v>4.2616286669932215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5.6843418860808015E-14</v>
      </c>
      <c r="EK108" s="17">
        <f>EJ108*VLOOKUP('Données projet'!$B$15,Paramètres!$A$1:$I$89,3,0)*VLOOKUP('Données projet'!$B$15,Paramètres!$A$1:$I$89,5,0)</f>
        <v>4.9658410716801891E-14</v>
      </c>
      <c r="EL108" s="13">
        <f t="shared" si="99"/>
        <v>8.0934058173791862E-13</v>
      </c>
      <c r="EM108" s="20">
        <f t="shared" si="73"/>
        <v>1.4960899118586383E-12</v>
      </c>
      <c r="EN108" s="59">
        <f t="shared" si="74"/>
        <v>293.33333333333479</v>
      </c>
      <c r="EO108" s="59">
        <f ca="1">AVERAGE(OFFSET($EN$3,0,0,'Données projet'!$E$15+1,1))-AVERAGE(OFFSET($H$3,0,0,'Données projet'!$E$15+1,1))</f>
        <v>255.2813753128475</v>
      </c>
      <c r="EP108" s="59">
        <f t="shared" si="100"/>
        <v>317.03005098025352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1.2772498539734736</v>
      </c>
      <c r="EW108" s="21">
        <f>EXP(-LN(2)/25)*EW107+(1-EXP(-LN(2)/25))/(LN(2)/25)*Calculateur!ER108*Calculateur!ET108*VLOOKUP('Données projet'!$B$15,Paramètres!$A$1:$I$89,3,0)*0.475*44/12</f>
        <v>2.2044296079968735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3.4816794619703471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1.7053025658242404E-13</v>
      </c>
      <c r="O109" s="13">
        <f>N109*VLOOKUP('Données projet'!$B$9,Paramètres!$A$1:$I$89,3,0)*VLOOKUP('Données projet'!$B$9,Paramètres!$A$1:$I$89,5,0)</f>
        <v>1.250327841262333E-13</v>
      </c>
      <c r="P109" s="13">
        <f t="shared" si="87"/>
        <v>1.8301318724634299E-12</v>
      </c>
      <c r="Q109" s="20">
        <f t="shared" si="107"/>
        <v>3.405245110226996E-12</v>
      </c>
      <c r="R109" s="59">
        <f t="shared" si="55"/>
        <v>293.33333333333672</v>
      </c>
      <c r="S109" s="59">
        <f ca="1">AVERAGE(OFFSET($R$3,0,0,'Données projet'!$E$9+1,1))-AVERAGE(OFFSET($H$3,0,0,'Données projet'!$E$9+1,1))</f>
        <v>193.60868637458515</v>
      </c>
      <c r="T109" s="59">
        <f t="shared" si="88"/>
        <v>272.97841038165217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-1.3567387213697657E-13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281.79835088425858</v>
      </c>
      <c r="AO109" s="59">
        <f t="shared" si="90"/>
        <v>345.4750813433123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343.6089004382095</v>
      </c>
      <c r="BJ109" s="59">
        <f t="shared" si="92"/>
        <v>278.21741231699929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4.4337866711430253E-14</v>
      </c>
      <c r="CA109" s="13">
        <f t="shared" si="93"/>
        <v>7.3222115536967035E-13</v>
      </c>
      <c r="CB109" s="20">
        <f t="shared" si="64"/>
        <v>1.3525069634579169E-12</v>
      </c>
      <c r="CC109" s="59">
        <f t="shared" si="65"/>
        <v>293.33333333333468</v>
      </c>
      <c r="CD109" s="59">
        <f ca="1">AVERAGE(OFFSET($CC$3,0,0,'Données projet'!$E$12+1,1))-AVERAGE(OFFSET($H$3,0,0,'Données projet'!$E$12+1,1))</f>
        <v>288.82868507674738</v>
      </c>
      <c r="CE109" s="59">
        <f t="shared" si="94"/>
        <v>283.48738729114024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0.38122980041191928</v>
      </c>
      <c r="CM109" s="21">
        <f>EXP(-LN(2)/2)*CM108+(1-EXP(-LN(2)/2))/(LN(2)/2)*CG109*CJ109*VLOOKUP('Données projet'!$B$12,Paramètres!$A$1:$I$89,3,0)*0.475*44/12</f>
        <v>1.1896581550290948E-11</v>
      </c>
      <c r="CN109" s="22">
        <f t="shared" si="66"/>
        <v>0.38122980042381588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-5.6843418860808015E-14</v>
      </c>
      <c r="CU109" s="17">
        <f>CT109*VLOOKUP('Données projet'!$B$13,Paramètres!$A$1:$I$89,3,0)*VLOOKUP('Données projet'!$B$13,Paramètres!$A$1:$I$89,5,0)</f>
        <v>-4.8771653382573282E-14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273.73158910361786</v>
      </c>
      <c r="CZ109" s="59">
        <f t="shared" si="96"/>
        <v>256.77417912163997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-3.4106051316484809E-13</v>
      </c>
      <c r="DP109" s="17">
        <f>DO109*VLOOKUP('Données projet'!$B$14,Paramètres!$A$1:$I$89,3,0)*VLOOKUP('Données projet'!$B$14,Paramètres!$A$1:$I$89,5,0)</f>
        <v>-1.9065282685915009E-13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534.78683721545372</v>
      </c>
      <c r="DU109" s="59">
        <f t="shared" si="98"/>
        <v>710.59298755711075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1.2132282624183606</v>
      </c>
      <c r="EB109" s="21">
        <f>EXP(-LN(2)/25)*EB108+(1-EXP(-LN(2)/25))/(LN(2)/25)*Calculateur!DW109*Calculateur!DY109*VLOOKUP('Données projet'!$B$14,Paramètres!$A$1:$I$89,3,0)*0.475*44/12</f>
        <v>2.9414387865077076</v>
      </c>
      <c r="EC109" s="21">
        <f>EXP(-LN(2)/2)*EC108+(1-EXP(-LN(2)/2))/(LN(2)/2)*DW109*DZ109*VLOOKUP('Données projet'!$B$14,Paramètres!$A$1:$I$89,3,0)*0.475*44/12</f>
        <v>4.256314442203841E-11</v>
      </c>
      <c r="ED109" s="22">
        <f t="shared" si="72"/>
        <v>4.1546670489686317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5.6843418860808015E-14</v>
      </c>
      <c r="EK109" s="17">
        <f>EJ109*VLOOKUP('Données projet'!$B$15,Paramètres!$A$1:$I$89,3,0)*VLOOKUP('Données projet'!$B$15,Paramètres!$A$1:$I$89,5,0)</f>
        <v>4.9658410716801891E-14</v>
      </c>
      <c r="EL109" s="13">
        <f t="shared" si="99"/>
        <v>8.0934058173791862E-13</v>
      </c>
      <c r="EM109" s="20">
        <f t="shared" si="73"/>
        <v>1.4960899118586383E-12</v>
      </c>
      <c r="EN109" s="59">
        <f t="shared" si="74"/>
        <v>293.33333333333479</v>
      </c>
      <c r="EO109" s="59">
        <f ca="1">AVERAGE(OFFSET($EN$3,0,0,'Données projet'!$E$15+1,1))-AVERAGE(OFFSET($H$3,0,0,'Données projet'!$E$15+1,1))</f>
        <v>255.2813753128475</v>
      </c>
      <c r="EP109" s="59">
        <f t="shared" si="100"/>
        <v>317.03005098025352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1.2522037633825402</v>
      </c>
      <c r="EW109" s="21">
        <f>EXP(-LN(2)/25)*EW108+(1-EXP(-LN(2)/25))/(LN(2)/25)*Calculateur!ER109*Calculateur!ET109*VLOOKUP('Données projet'!$B$15,Paramètres!$A$1:$I$89,3,0)*0.475*44/12</f>
        <v>2.1441493644402843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3.3963531278228247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1.7053025658242404E-13</v>
      </c>
      <c r="O110" s="13">
        <f>N110*VLOOKUP('Données projet'!$B$9,Paramètres!$A$1:$I$89,3,0)*VLOOKUP('Données projet'!$B$9,Paramètres!$A$1:$I$89,5,0)</f>
        <v>1.250327841262333E-13</v>
      </c>
      <c r="P110" s="13">
        <f t="shared" si="87"/>
        <v>1.8301318724634299E-12</v>
      </c>
      <c r="Q110" s="20">
        <f t="shared" si="107"/>
        <v>3.405245110226996E-12</v>
      </c>
      <c r="R110" s="59">
        <f t="shared" si="55"/>
        <v>293.33333333333672</v>
      </c>
      <c r="S110" s="59">
        <f ca="1">AVERAGE(OFFSET($R$3,0,0,'Données projet'!$E$9+1,1))-AVERAGE(OFFSET($H$3,0,0,'Données projet'!$E$9+1,1))</f>
        <v>193.60868637458515</v>
      </c>
      <c r="T110" s="59">
        <f t="shared" si="88"/>
        <v>272.97841038165217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-1.3567387213697657E-13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281.79835088425858</v>
      </c>
      <c r="AO110" s="59">
        <f t="shared" si="90"/>
        <v>345.4750813433123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343.6089004382095</v>
      </c>
      <c r="BJ110" s="59">
        <f t="shared" si="92"/>
        <v>278.21741231699929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4.4337866711430253E-14</v>
      </c>
      <c r="CA110" s="13">
        <f t="shared" si="93"/>
        <v>7.3222115536967035E-13</v>
      </c>
      <c r="CB110" s="20">
        <f t="shared" si="64"/>
        <v>1.3525069634579169E-12</v>
      </c>
      <c r="CC110" s="59">
        <f t="shared" si="65"/>
        <v>293.33333333333468</v>
      </c>
      <c r="CD110" s="59">
        <f ca="1">AVERAGE(OFFSET($CC$3,0,0,'Données projet'!$E$12+1,1))-AVERAGE(OFFSET($H$3,0,0,'Données projet'!$E$12+1,1))</f>
        <v>288.82868507674738</v>
      </c>
      <c r="CE110" s="59">
        <f t="shared" si="94"/>
        <v>283.48738729114024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0.37080505147165144</v>
      </c>
      <c r="CM110" s="21">
        <f>EXP(-LN(2)/2)*CM109+(1-EXP(-LN(2)/2))/(LN(2)/2)*CG110*CJ110*VLOOKUP('Données projet'!$B$12,Paramètres!$A$1:$I$89,3,0)*0.475*44/12</f>
        <v>8.4121534871494994E-12</v>
      </c>
      <c r="CN110" s="22">
        <f t="shared" si="66"/>
        <v>0.3708050514800636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-5.6843418860808015E-14</v>
      </c>
      <c r="CU110" s="17">
        <f>CT110*VLOOKUP('Données projet'!$B$13,Paramètres!$A$1:$I$89,3,0)*VLOOKUP('Données projet'!$B$13,Paramètres!$A$1:$I$89,5,0)</f>
        <v>-4.8771653382573282E-14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273.73158910361786</v>
      </c>
      <c r="CZ110" s="59">
        <f t="shared" si="96"/>
        <v>256.77417912163997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-3.4106051316484809E-13</v>
      </c>
      <c r="DP110" s="17">
        <f>DO110*VLOOKUP('Données projet'!$B$14,Paramètres!$A$1:$I$89,3,0)*VLOOKUP('Données projet'!$B$14,Paramètres!$A$1:$I$89,5,0)</f>
        <v>-1.9065282685915009E-13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534.78683721545372</v>
      </c>
      <c r="DU110" s="59">
        <f t="shared" si="98"/>
        <v>710.59298755711075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1.189437596188508</v>
      </c>
      <c r="EB110" s="21">
        <f>EXP(-LN(2)/25)*EB109+(1-EXP(-LN(2)/25))/(LN(2)/25)*Calculateur!DW110*Calculateur!DY110*VLOOKUP('Données projet'!$B$14,Paramètres!$A$1:$I$89,3,0)*0.475*44/12</f>
        <v>2.8610049882071111</v>
      </c>
      <c r="EC110" s="21">
        <f>EXP(-LN(2)/2)*EC109+(1-EXP(-LN(2)/2))/(LN(2)/2)*DW110*DZ110*VLOOKUP('Données projet'!$B$14,Paramètres!$A$1:$I$89,3,0)*0.475*44/12</f>
        <v>3.0096688049445735E-11</v>
      </c>
      <c r="ED110" s="22">
        <f t="shared" si="72"/>
        <v>4.0504425844257161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5.6843418860808015E-14</v>
      </c>
      <c r="EK110" s="17">
        <f>EJ110*VLOOKUP('Données projet'!$B$15,Paramètres!$A$1:$I$89,3,0)*VLOOKUP('Données projet'!$B$15,Paramètres!$A$1:$I$89,5,0)</f>
        <v>4.9658410716801891E-14</v>
      </c>
      <c r="EL110" s="13">
        <f t="shared" si="99"/>
        <v>8.0934058173791862E-13</v>
      </c>
      <c r="EM110" s="20">
        <f t="shared" si="73"/>
        <v>1.4960899118586383E-12</v>
      </c>
      <c r="EN110" s="59">
        <f t="shared" si="74"/>
        <v>293.33333333333479</v>
      </c>
      <c r="EO110" s="59">
        <f ca="1">AVERAGE(OFFSET($EN$3,0,0,'Données projet'!$E$15+1,1))-AVERAGE(OFFSET($H$3,0,0,'Données projet'!$E$15+1,1))</f>
        <v>255.2813753128475</v>
      </c>
      <c r="EP110" s="59">
        <f t="shared" si="100"/>
        <v>317.03005098025352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1.2276488113514883</v>
      </c>
      <c r="EW110" s="21">
        <f>EXP(-LN(2)/25)*EW109+(1-EXP(-LN(2)/25))/(LN(2)/25)*Calculateur!ER110*Calculateur!ET110*VLOOKUP('Données projet'!$B$15,Paramètres!$A$1:$I$89,3,0)*0.475*44/12</f>
        <v>2.0855174873137501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3.3131662986652382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1.7053025658242404E-13</v>
      </c>
      <c r="O111" s="13">
        <f>N111*VLOOKUP('Données projet'!$B$9,Paramètres!$A$1:$I$89,3,0)*VLOOKUP('Données projet'!$B$9,Paramètres!$A$1:$I$89,5,0)</f>
        <v>1.250327841262333E-13</v>
      </c>
      <c r="P111" s="13">
        <f t="shared" si="87"/>
        <v>1.8301318724634299E-12</v>
      </c>
      <c r="Q111" s="20">
        <f t="shared" si="107"/>
        <v>3.405245110226996E-12</v>
      </c>
      <c r="R111" s="59">
        <f t="shared" si="55"/>
        <v>293.33333333333672</v>
      </c>
      <c r="S111" s="59">
        <f ca="1">AVERAGE(OFFSET($R$3,0,0,'Données projet'!$E$9+1,1))-AVERAGE(OFFSET($H$3,0,0,'Données projet'!$E$9+1,1))</f>
        <v>193.60868637458515</v>
      </c>
      <c r="T111" s="59">
        <f t="shared" si="88"/>
        <v>272.97841038165217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-1.3567387213697657E-13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281.79835088425858</v>
      </c>
      <c r="AO111" s="59">
        <f t="shared" si="90"/>
        <v>345.4750813433123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343.6089004382095</v>
      </c>
      <c r="BJ111" s="59">
        <f t="shared" si="92"/>
        <v>278.21741231699929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4.4337866711430253E-14</v>
      </c>
      <c r="CA111" s="13">
        <f t="shared" si="93"/>
        <v>7.3222115536967035E-13</v>
      </c>
      <c r="CB111" s="20">
        <f t="shared" si="64"/>
        <v>1.3525069634579169E-12</v>
      </c>
      <c r="CC111" s="59">
        <f t="shared" si="65"/>
        <v>293.33333333333468</v>
      </c>
      <c r="CD111" s="59">
        <f ca="1">AVERAGE(OFFSET($CC$3,0,0,'Données projet'!$E$12+1,1))-AVERAGE(OFFSET($H$3,0,0,'Données projet'!$E$12+1,1))</f>
        <v>288.82868507674738</v>
      </c>
      <c r="CE111" s="59">
        <f t="shared" si="94"/>
        <v>283.48738729114024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0.36066536783936898</v>
      </c>
      <c r="CM111" s="21">
        <f>EXP(-LN(2)/2)*CM110+(1-EXP(-LN(2)/2))/(LN(2)/2)*CG111*CJ111*VLOOKUP('Données projet'!$B$12,Paramètres!$A$1:$I$89,3,0)*0.475*44/12</f>
        <v>5.9482907751454739E-12</v>
      </c>
      <c r="CN111" s="22">
        <f t="shared" si="66"/>
        <v>0.36066536784531728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-5.6843418860808015E-14</v>
      </c>
      <c r="CU111" s="17">
        <f>CT111*VLOOKUP('Données projet'!$B$13,Paramètres!$A$1:$I$89,3,0)*VLOOKUP('Données projet'!$B$13,Paramètres!$A$1:$I$89,5,0)</f>
        <v>-4.8771653382573282E-14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273.73158910361786</v>
      </c>
      <c r="CZ111" s="59">
        <f t="shared" si="96"/>
        <v>256.77417912163997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-3.4106051316484809E-13</v>
      </c>
      <c r="DP111" s="17">
        <f>DO111*VLOOKUP('Données projet'!$B$14,Paramètres!$A$1:$I$89,3,0)*VLOOKUP('Données projet'!$B$14,Paramètres!$A$1:$I$89,5,0)</f>
        <v>-1.9065282685915009E-13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534.78683721545372</v>
      </c>
      <c r="DU111" s="59">
        <f t="shared" si="98"/>
        <v>710.59298755711075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1.1661134504125492</v>
      </c>
      <c r="EB111" s="21">
        <f>EXP(-LN(2)/25)*EB110+(1-EXP(-LN(2)/25))/(LN(2)/25)*Calculateur!DW111*Calculateur!DY111*VLOOKUP('Données projet'!$B$14,Paramètres!$A$1:$I$89,3,0)*0.475*44/12</f>
        <v>2.7827706563508743</v>
      </c>
      <c r="EC111" s="21">
        <f>EXP(-LN(2)/2)*EC110+(1-EXP(-LN(2)/2))/(LN(2)/2)*DW111*DZ111*VLOOKUP('Données projet'!$B$14,Paramètres!$A$1:$I$89,3,0)*0.475*44/12</f>
        <v>2.1281572211019205E-11</v>
      </c>
      <c r="ED111" s="22">
        <f t="shared" si="72"/>
        <v>3.9488841067847051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5.6843418860808015E-14</v>
      </c>
      <c r="EK111" s="17">
        <f>EJ111*VLOOKUP('Données projet'!$B$15,Paramètres!$A$1:$I$89,3,0)*VLOOKUP('Données projet'!$B$15,Paramètres!$A$1:$I$89,5,0)</f>
        <v>4.9658410716801891E-14</v>
      </c>
      <c r="EL111" s="13">
        <f t="shared" si="99"/>
        <v>8.0934058173791862E-13</v>
      </c>
      <c r="EM111" s="20">
        <f t="shared" si="73"/>
        <v>1.4960899118586383E-12</v>
      </c>
      <c r="EN111" s="59">
        <f t="shared" si="74"/>
        <v>293.33333333333479</v>
      </c>
      <c r="EO111" s="59">
        <f ca="1">AVERAGE(OFFSET($EN$3,0,0,'Données projet'!$E$15+1,1))-AVERAGE(OFFSET($H$3,0,0,'Données projet'!$E$15+1,1))</f>
        <v>255.2813753128475</v>
      </c>
      <c r="EP111" s="59">
        <f t="shared" si="100"/>
        <v>317.03005098025352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1.2035753669527234</v>
      </c>
      <c r="EW111" s="21">
        <f>EXP(-LN(2)/25)*EW110+(1-EXP(-LN(2)/25))/(LN(2)/25)*Calculateur!ER111*Calculateur!ET111*VLOOKUP('Données projet'!$B$15,Paramètres!$A$1:$I$89,3,0)*0.475*44/12</f>
        <v>2.0284889019505576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3.2320642689032812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1.7053025658242404E-13</v>
      </c>
      <c r="O112" s="13">
        <f>N112*VLOOKUP('Données projet'!$B$9,Paramètres!$A$1:$I$89,3,0)*VLOOKUP('Données projet'!$B$9,Paramètres!$A$1:$I$89,5,0)</f>
        <v>1.250327841262333E-13</v>
      </c>
      <c r="P112" s="13">
        <f t="shared" si="87"/>
        <v>1.8301318724634299E-12</v>
      </c>
      <c r="Q112" s="20">
        <f t="shared" si="107"/>
        <v>3.405245110226996E-12</v>
      </c>
      <c r="R112" s="59">
        <f t="shared" si="55"/>
        <v>293.33333333333672</v>
      </c>
      <c r="S112" s="59">
        <f ca="1">AVERAGE(OFFSET($R$3,0,0,'Données projet'!$E$9+1,1))-AVERAGE(OFFSET($H$3,0,0,'Données projet'!$E$9+1,1))</f>
        <v>193.60868637458515</v>
      </c>
      <c r="T112" s="59">
        <f t="shared" si="88"/>
        <v>272.97841038165217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-1.3567387213697657E-13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281.79835088425858</v>
      </c>
      <c r="AO112" s="59">
        <f t="shared" si="90"/>
        <v>345.4750813433123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343.6089004382095</v>
      </c>
      <c r="BJ112" s="59">
        <f t="shared" si="92"/>
        <v>278.21741231699929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4.4337866711430253E-14</v>
      </c>
      <c r="CA112" s="13">
        <f t="shared" si="93"/>
        <v>7.3222115536967035E-13</v>
      </c>
      <c r="CB112" s="20">
        <f t="shared" si="64"/>
        <v>1.3525069634579169E-12</v>
      </c>
      <c r="CC112" s="59">
        <f t="shared" si="65"/>
        <v>293.33333333333468</v>
      </c>
      <c r="CD112" s="59">
        <f ca="1">AVERAGE(OFFSET($CC$3,0,0,'Données projet'!$E$12+1,1))-AVERAGE(OFFSET($H$3,0,0,'Données projet'!$E$12+1,1))</f>
        <v>288.82868507674738</v>
      </c>
      <c r="CE112" s="59">
        <f t="shared" si="94"/>
        <v>283.48738729114024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0.35080295438923403</v>
      </c>
      <c r="CM112" s="21">
        <f>EXP(-LN(2)/2)*CM111+(1-EXP(-LN(2)/2))/(LN(2)/2)*CG112*CJ112*VLOOKUP('Données projet'!$B$12,Paramètres!$A$1:$I$89,3,0)*0.475*44/12</f>
        <v>4.2060767435747497E-12</v>
      </c>
      <c r="CN112" s="22">
        <f t="shared" si="66"/>
        <v>0.35080295439344011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-5.6843418860808015E-14</v>
      </c>
      <c r="CU112" s="17">
        <f>CT112*VLOOKUP('Données projet'!$B$13,Paramètres!$A$1:$I$89,3,0)*VLOOKUP('Données projet'!$B$13,Paramètres!$A$1:$I$89,5,0)</f>
        <v>-4.8771653382573282E-14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273.73158910361786</v>
      </c>
      <c r="CZ112" s="59">
        <f t="shared" si="96"/>
        <v>256.77417912163997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-3.4106051316484809E-13</v>
      </c>
      <c r="DP112" s="17">
        <f>DO112*VLOOKUP('Données projet'!$B$14,Paramètres!$A$1:$I$89,3,0)*VLOOKUP('Données projet'!$B$14,Paramètres!$A$1:$I$89,5,0)</f>
        <v>-1.9065282685915009E-13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534.78683721545372</v>
      </c>
      <c r="DU112" s="59">
        <f t="shared" si="98"/>
        <v>710.59298755711075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1.1432466769089329</v>
      </c>
      <c r="EB112" s="21">
        <f>EXP(-LN(2)/25)*EB111+(1-EXP(-LN(2)/25))/(LN(2)/25)*Calculateur!DW112*Calculateur!DY112*VLOOKUP('Données projet'!$B$14,Paramètres!$A$1:$I$89,3,0)*0.475*44/12</f>
        <v>2.706675646413411</v>
      </c>
      <c r="EC112" s="21">
        <f>EXP(-LN(2)/2)*EC111+(1-EXP(-LN(2)/2))/(LN(2)/2)*DW112*DZ112*VLOOKUP('Données projet'!$B$14,Paramètres!$A$1:$I$89,3,0)*0.475*44/12</f>
        <v>1.5048344024722867E-11</v>
      </c>
      <c r="ED112" s="22">
        <f t="shared" si="72"/>
        <v>3.8499223233373923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5.6843418860808015E-14</v>
      </c>
      <c r="EK112" s="17">
        <f>EJ112*VLOOKUP('Données projet'!$B$15,Paramètres!$A$1:$I$89,3,0)*VLOOKUP('Données projet'!$B$15,Paramètres!$A$1:$I$89,5,0)</f>
        <v>4.9658410716801891E-14</v>
      </c>
      <c r="EL112" s="13">
        <f t="shared" si="99"/>
        <v>8.0934058173791862E-13</v>
      </c>
      <c r="EM112" s="20">
        <f t="shared" si="73"/>
        <v>1.4960899118586383E-12</v>
      </c>
      <c r="EN112" s="59">
        <f t="shared" si="74"/>
        <v>293.33333333333479</v>
      </c>
      <c r="EO112" s="59">
        <f ca="1">AVERAGE(OFFSET($EN$3,0,0,'Données projet'!$E$15+1,1))-AVERAGE(OFFSET($H$3,0,0,'Données projet'!$E$15+1,1))</f>
        <v>255.2813753128475</v>
      </c>
      <c r="EP112" s="59">
        <f t="shared" si="100"/>
        <v>317.03005098025352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1.1799739881152671</v>
      </c>
      <c r="EW112" s="21">
        <f>EXP(-LN(2)/25)*EW111+(1-EXP(-LN(2)/25))/(LN(2)/25)*Calculateur!ER112*Calculateur!ET112*VLOOKUP('Données projet'!$B$15,Paramètres!$A$1:$I$89,3,0)*0.475*44/12</f>
        <v>1.9730197662531244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3.1529937543683912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1.7053025658242404E-13</v>
      </c>
      <c r="O113" s="13">
        <f>N113*VLOOKUP('Données projet'!$B$9,Paramètres!$A$1:$I$89,3,0)*VLOOKUP('Données projet'!$B$9,Paramètres!$A$1:$I$89,5,0)</f>
        <v>1.250327841262333E-13</v>
      </c>
      <c r="P113" s="13">
        <f t="shared" si="87"/>
        <v>1.8301318724634299E-12</v>
      </c>
      <c r="Q113" s="20">
        <f t="shared" si="107"/>
        <v>3.405245110226996E-12</v>
      </c>
      <c r="R113" s="59">
        <f t="shared" si="55"/>
        <v>293.33333333333672</v>
      </c>
      <c r="S113" s="59">
        <f ca="1">AVERAGE(OFFSET($R$3,0,0,'Données projet'!$E$9+1,1))-AVERAGE(OFFSET($H$3,0,0,'Données projet'!$E$9+1,1))</f>
        <v>193.60868637458515</v>
      </c>
      <c r="T113" s="59">
        <f t="shared" si="88"/>
        <v>272.97841038165217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-1.3567387213697657E-13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281.79835088425858</v>
      </c>
      <c r="AO113" s="59">
        <f t="shared" si="90"/>
        <v>345.4750813433123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343.6089004382095</v>
      </c>
      <c r="BJ113" s="59">
        <f t="shared" si="92"/>
        <v>278.21741231699929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4.4337866711430253E-14</v>
      </c>
      <c r="CA113" s="13">
        <f t="shared" si="93"/>
        <v>7.3222115536967035E-13</v>
      </c>
      <c r="CB113" s="20">
        <f t="shared" si="64"/>
        <v>1.3525069634579169E-12</v>
      </c>
      <c r="CC113" s="59">
        <f t="shared" si="65"/>
        <v>293.33333333333468</v>
      </c>
      <c r="CD113" s="59">
        <f ca="1">AVERAGE(OFFSET($CC$3,0,0,'Données projet'!$E$12+1,1))-AVERAGE(OFFSET($H$3,0,0,'Données projet'!$E$12+1,1))</f>
        <v>288.82868507674738</v>
      </c>
      <c r="CE113" s="59">
        <f t="shared" si="94"/>
        <v>283.48738729114024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0.34121022915353483</v>
      </c>
      <c r="CM113" s="21">
        <f>EXP(-LN(2)/2)*CM112+(1-EXP(-LN(2)/2))/(LN(2)/2)*CG113*CJ113*VLOOKUP('Données projet'!$B$12,Paramètres!$A$1:$I$89,3,0)*0.475*44/12</f>
        <v>2.9741453875727369E-12</v>
      </c>
      <c r="CN113" s="22">
        <f t="shared" si="66"/>
        <v>0.34121022915650895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-5.6843418860808015E-14</v>
      </c>
      <c r="CU113" s="17">
        <f>CT113*VLOOKUP('Données projet'!$B$13,Paramètres!$A$1:$I$89,3,0)*VLOOKUP('Données projet'!$B$13,Paramètres!$A$1:$I$89,5,0)</f>
        <v>-4.8771653382573282E-14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273.73158910361786</v>
      </c>
      <c r="CZ113" s="59">
        <f t="shared" si="96"/>
        <v>256.77417912163997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-3.4106051316484809E-13</v>
      </c>
      <c r="DP113" s="17">
        <f>DO113*VLOOKUP('Données projet'!$B$14,Paramètres!$A$1:$I$89,3,0)*VLOOKUP('Données projet'!$B$14,Paramètres!$A$1:$I$89,5,0)</f>
        <v>-1.9065282685915009E-13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534.78683721545372</v>
      </c>
      <c r="DU113" s="59">
        <f t="shared" si="98"/>
        <v>710.59298755711075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1.1208283068863678</v>
      </c>
      <c r="EB113" s="21">
        <f>EXP(-LN(2)/25)*EB112+(1-EXP(-LN(2)/25))/(LN(2)/25)*Calculateur!DW113*Calculateur!DY113*VLOOKUP('Données projet'!$B$14,Paramètres!$A$1:$I$89,3,0)*0.475*44/12</f>
        <v>2.6326614585243502</v>
      </c>
      <c r="EC113" s="21">
        <f>EXP(-LN(2)/2)*EC112+(1-EXP(-LN(2)/2))/(LN(2)/2)*DW113*DZ113*VLOOKUP('Données projet'!$B$14,Paramètres!$A$1:$I$89,3,0)*0.475*44/12</f>
        <v>1.0640786105509603E-11</v>
      </c>
      <c r="ED113" s="22">
        <f t="shared" si="72"/>
        <v>3.7534897654213588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5.6843418860808015E-14</v>
      </c>
      <c r="EK113" s="17">
        <f>EJ113*VLOOKUP('Données projet'!$B$15,Paramètres!$A$1:$I$89,3,0)*VLOOKUP('Données projet'!$B$15,Paramètres!$A$1:$I$89,5,0)</f>
        <v>4.9658410716801891E-14</v>
      </c>
      <c r="EL113" s="13">
        <f t="shared" si="99"/>
        <v>8.0934058173791862E-13</v>
      </c>
      <c r="EM113" s="20">
        <f t="shared" si="73"/>
        <v>1.4960899118586383E-12</v>
      </c>
      <c r="EN113" s="59">
        <f t="shared" si="74"/>
        <v>293.33333333333479</v>
      </c>
      <c r="EO113" s="59">
        <f ca="1">AVERAGE(OFFSET($EN$3,0,0,'Données projet'!$E$15+1,1))-AVERAGE(OFFSET($H$3,0,0,'Données projet'!$E$15+1,1))</f>
        <v>255.2813753128475</v>
      </c>
      <c r="EP113" s="59">
        <f t="shared" si="100"/>
        <v>317.03005098025352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1.1568354179213938</v>
      </c>
      <c r="EW113" s="21">
        <f>EXP(-LN(2)/25)*EW112+(1-EXP(-LN(2)/25))/(LN(2)/25)*Calculateur!ER113*Calculateur!ET113*VLOOKUP('Données projet'!$B$15,Paramètres!$A$1:$I$89,3,0)*0.475*44/12</f>
        <v>1.9190674369883325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3.0759028549097263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1.7053025658242404E-13</v>
      </c>
      <c r="O114" s="13">
        <f>N114*VLOOKUP('Données projet'!$B$9,Paramètres!$A$1:$I$89,3,0)*VLOOKUP('Données projet'!$B$9,Paramètres!$A$1:$I$89,5,0)</f>
        <v>1.250327841262333E-13</v>
      </c>
      <c r="P114" s="13">
        <f t="shared" si="87"/>
        <v>1.8301318724634299E-12</v>
      </c>
      <c r="Q114" s="20">
        <f t="shared" si="107"/>
        <v>3.405245110226996E-12</v>
      </c>
      <c r="R114" s="59">
        <f t="shared" si="55"/>
        <v>293.33333333333672</v>
      </c>
      <c r="S114" s="59">
        <f ca="1">AVERAGE(OFFSET($R$3,0,0,'Données projet'!$E$9+1,1))-AVERAGE(OFFSET($H$3,0,0,'Données projet'!$E$9+1,1))</f>
        <v>193.60868637458515</v>
      </c>
      <c r="T114" s="59">
        <f t="shared" si="88"/>
        <v>272.97841038165217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-1.3567387213697657E-13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281.79835088425858</v>
      </c>
      <c r="AO114" s="59">
        <f t="shared" si="90"/>
        <v>345.4750813433123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343.6089004382095</v>
      </c>
      <c r="BJ114" s="59">
        <f t="shared" si="92"/>
        <v>278.21741231699929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4.4337866711430253E-14</v>
      </c>
      <c r="CA114" s="13">
        <f t="shared" si="93"/>
        <v>7.3222115536967035E-13</v>
      </c>
      <c r="CB114" s="20">
        <f t="shared" si="64"/>
        <v>1.3525069634579169E-12</v>
      </c>
      <c r="CC114" s="59">
        <f t="shared" si="65"/>
        <v>293.33333333333468</v>
      </c>
      <c r="CD114" s="59">
        <f ca="1">AVERAGE(OFFSET($CC$3,0,0,'Données projet'!$E$12+1,1))-AVERAGE(OFFSET($H$3,0,0,'Données projet'!$E$12+1,1))</f>
        <v>288.82868507674738</v>
      </c>
      <c r="CE114" s="59">
        <f t="shared" si="94"/>
        <v>283.48738729114024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0.3318798174938653</v>
      </c>
      <c r="CM114" s="21">
        <f>EXP(-LN(2)/2)*CM113+(1-EXP(-LN(2)/2))/(LN(2)/2)*CG114*CJ114*VLOOKUP('Données projet'!$B$12,Paramètres!$A$1:$I$89,3,0)*0.475*44/12</f>
        <v>2.1030383717873749E-12</v>
      </c>
      <c r="CN114" s="22">
        <f t="shared" si="66"/>
        <v>0.33187981749596834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-5.6843418860808015E-14</v>
      </c>
      <c r="CU114" s="17">
        <f>CT114*VLOOKUP('Données projet'!$B$13,Paramètres!$A$1:$I$89,3,0)*VLOOKUP('Données projet'!$B$13,Paramètres!$A$1:$I$89,5,0)</f>
        <v>-4.8771653382573282E-14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273.73158910361786</v>
      </c>
      <c r="CZ114" s="59">
        <f t="shared" si="96"/>
        <v>256.77417912163997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-3.4106051316484809E-13</v>
      </c>
      <c r="DP114" s="17">
        <f>DO114*VLOOKUP('Données projet'!$B$14,Paramètres!$A$1:$I$89,3,0)*VLOOKUP('Données projet'!$B$14,Paramètres!$A$1:$I$89,5,0)</f>
        <v>-1.9065282685915009E-13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534.78683721545372</v>
      </c>
      <c r="DU114" s="59">
        <f t="shared" si="98"/>
        <v>710.59298755711075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1.0988495474260898</v>
      </c>
      <c r="EB114" s="21">
        <f>EXP(-LN(2)/25)*EB113+(1-EXP(-LN(2)/25))/(LN(2)/25)*Calculateur!DW114*Calculateur!DY114*VLOOKUP('Données projet'!$B$14,Paramètres!$A$1:$I$89,3,0)*0.475*44/12</f>
        <v>2.5606711924953527</v>
      </c>
      <c r="EC114" s="21">
        <f>EXP(-LN(2)/2)*EC113+(1-EXP(-LN(2)/2))/(LN(2)/2)*DW114*DZ114*VLOOKUP('Données projet'!$B$14,Paramètres!$A$1:$I$89,3,0)*0.475*44/12</f>
        <v>7.5241720123614337E-12</v>
      </c>
      <c r="ED114" s="22">
        <f t="shared" si="72"/>
        <v>3.6595207399289666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5.6843418860808015E-14</v>
      </c>
      <c r="EK114" s="17">
        <f>EJ114*VLOOKUP('Données projet'!$B$15,Paramètres!$A$1:$I$89,3,0)*VLOOKUP('Données projet'!$B$15,Paramètres!$A$1:$I$89,5,0)</f>
        <v>4.9658410716801891E-14</v>
      </c>
      <c r="EL114" s="13">
        <f t="shared" si="99"/>
        <v>8.0934058173791862E-13</v>
      </c>
      <c r="EM114" s="20">
        <f t="shared" si="73"/>
        <v>1.4960899118586383E-12</v>
      </c>
      <c r="EN114" s="59">
        <f t="shared" si="74"/>
        <v>293.33333333333479</v>
      </c>
      <c r="EO114" s="59">
        <f ca="1">AVERAGE(OFFSET($EN$3,0,0,'Données projet'!$E$15+1,1))-AVERAGE(OFFSET($H$3,0,0,'Données projet'!$E$15+1,1))</f>
        <v>255.2813753128475</v>
      </c>
      <c r="EP114" s="59">
        <f t="shared" si="100"/>
        <v>317.03005098025352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1.1341505809758881</v>
      </c>
      <c r="EW114" s="21">
        <f>EXP(-LN(2)/25)*EW113+(1-EXP(-LN(2)/25))/(LN(2)/25)*Calculateur!ER114*Calculateur!ET114*VLOOKUP('Données projet'!$B$15,Paramètres!$A$1:$I$89,3,0)*0.475*44/12</f>
        <v>1.8665904370045161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3.0007410179804044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1.7053025658242404E-13</v>
      </c>
      <c r="O115" s="13">
        <f>N115*VLOOKUP('Données projet'!$B$9,Paramètres!$A$1:$I$89,3,0)*VLOOKUP('Données projet'!$B$9,Paramètres!$A$1:$I$89,5,0)</f>
        <v>1.250327841262333E-13</v>
      </c>
      <c r="P115" s="13">
        <f t="shared" si="87"/>
        <v>1.8301318724634299E-12</v>
      </c>
      <c r="Q115" s="20">
        <f t="shared" si="107"/>
        <v>3.405245110226996E-12</v>
      </c>
      <c r="R115" s="59">
        <f t="shared" si="55"/>
        <v>293.33333333333672</v>
      </c>
      <c r="S115" s="59">
        <f ca="1">AVERAGE(OFFSET($R$3,0,0,'Données projet'!$E$9+1,1))-AVERAGE(OFFSET($H$3,0,0,'Données projet'!$E$9+1,1))</f>
        <v>193.60868637458515</v>
      </c>
      <c r="T115" s="59">
        <f t="shared" si="88"/>
        <v>272.97841038165217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-1.3567387213697657E-13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281.79835088425858</v>
      </c>
      <c r="AO115" s="59">
        <f t="shared" si="90"/>
        <v>345.4750813433123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343.6089004382095</v>
      </c>
      <c r="BJ115" s="59">
        <f t="shared" si="92"/>
        <v>278.21741231699929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4.4337866711430253E-14</v>
      </c>
      <c r="CA115" s="13">
        <f t="shared" si="93"/>
        <v>7.3222115536967035E-13</v>
      </c>
      <c r="CB115" s="20">
        <f t="shared" si="64"/>
        <v>1.3525069634579169E-12</v>
      </c>
      <c r="CC115" s="59">
        <f t="shared" si="65"/>
        <v>293.33333333333468</v>
      </c>
      <c r="CD115" s="59">
        <f ca="1">AVERAGE(OFFSET($CC$3,0,0,'Données projet'!$E$12+1,1))-AVERAGE(OFFSET($H$3,0,0,'Données projet'!$E$12+1,1))</f>
        <v>288.82868507674738</v>
      </c>
      <c r="CE115" s="59">
        <f t="shared" si="94"/>
        <v>283.48738729114024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0.32280454643169448</v>
      </c>
      <c r="CM115" s="21">
        <f>EXP(-LN(2)/2)*CM114+(1-EXP(-LN(2)/2))/(LN(2)/2)*CG115*CJ115*VLOOKUP('Données projet'!$B$12,Paramètres!$A$1:$I$89,3,0)*0.475*44/12</f>
        <v>1.4870726937863685E-12</v>
      </c>
      <c r="CN115" s="22">
        <f t="shared" si="66"/>
        <v>0.32280454643318157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-5.6843418860808015E-14</v>
      </c>
      <c r="CU115" s="17">
        <f>CT115*VLOOKUP('Données projet'!$B$13,Paramètres!$A$1:$I$89,3,0)*VLOOKUP('Données projet'!$B$13,Paramètres!$A$1:$I$89,5,0)</f>
        <v>-4.8771653382573282E-14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273.73158910361786</v>
      </c>
      <c r="CZ115" s="59">
        <f t="shared" si="96"/>
        <v>256.77417912163997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-3.4106051316484809E-13</v>
      </c>
      <c r="DP115" s="17">
        <f>DO115*VLOOKUP('Données projet'!$B$14,Paramètres!$A$1:$I$89,3,0)*VLOOKUP('Données projet'!$B$14,Paramètres!$A$1:$I$89,5,0)</f>
        <v>-1.9065282685915009E-13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534.78683721545372</v>
      </c>
      <c r="DU115" s="59">
        <f t="shared" si="98"/>
        <v>710.59298755711075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1.0773017780331082</v>
      </c>
      <c r="EB115" s="21">
        <f>EXP(-LN(2)/25)*EB114+(1-EXP(-LN(2)/25))/(LN(2)/25)*Calculateur!DW115*Calculateur!DY115*VLOOKUP('Données projet'!$B$14,Paramètres!$A$1:$I$89,3,0)*0.475*44/12</f>
        <v>2.4906495040767216</v>
      </c>
      <c r="EC115" s="21">
        <f>EXP(-LN(2)/2)*EC114+(1-EXP(-LN(2)/2))/(LN(2)/2)*DW115*DZ115*VLOOKUP('Données projet'!$B$14,Paramètres!$A$1:$I$89,3,0)*0.475*44/12</f>
        <v>5.3203930527548013E-12</v>
      </c>
      <c r="ED115" s="22">
        <f t="shared" si="72"/>
        <v>3.5679512821151498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5.6843418860808015E-14</v>
      </c>
      <c r="EK115" s="17">
        <f>EJ115*VLOOKUP('Données projet'!$B$15,Paramètres!$A$1:$I$89,3,0)*VLOOKUP('Données projet'!$B$15,Paramètres!$A$1:$I$89,5,0)</f>
        <v>4.9658410716801891E-14</v>
      </c>
      <c r="EL115" s="13">
        <f t="shared" si="99"/>
        <v>8.0934058173791862E-13</v>
      </c>
      <c r="EM115" s="20">
        <f t="shared" si="73"/>
        <v>1.4960899118586383E-12</v>
      </c>
      <c r="EN115" s="59">
        <f t="shared" si="74"/>
        <v>293.33333333333479</v>
      </c>
      <c r="EO115" s="59">
        <f ca="1">AVERAGE(OFFSET($EN$3,0,0,'Données projet'!$E$15+1,1))-AVERAGE(OFFSET($H$3,0,0,'Données projet'!$E$15+1,1))</f>
        <v>255.2813753128475</v>
      </c>
      <c r="EP115" s="59">
        <f t="shared" si="100"/>
        <v>317.03005098025352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1.1119105798464992</v>
      </c>
      <c r="EW115" s="21">
        <f>EXP(-LN(2)/25)*EW114+(1-EXP(-LN(2)/25))/(LN(2)/25)*Calculateur!ER115*Calculateur!ET115*VLOOKUP('Données projet'!$B$15,Paramètres!$A$1:$I$89,3,0)*0.475*44/12</f>
        <v>1.8155484233449026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2.9274590031914016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1.7053025658242404E-13</v>
      </c>
      <c r="O116" s="13">
        <f>N116*VLOOKUP('Données projet'!$B$9,Paramètres!$A$1:$I$89,3,0)*VLOOKUP('Données projet'!$B$9,Paramètres!$A$1:$I$89,5,0)</f>
        <v>1.250327841262333E-13</v>
      </c>
      <c r="P116" s="13">
        <f t="shared" si="87"/>
        <v>1.8301318724634299E-12</v>
      </c>
      <c r="Q116" s="20">
        <f t="shared" si="107"/>
        <v>3.405245110226996E-12</v>
      </c>
      <c r="R116" s="59">
        <f t="shared" si="55"/>
        <v>293.33333333333672</v>
      </c>
      <c r="S116" s="59">
        <f ca="1">AVERAGE(OFFSET($R$3,0,0,'Données projet'!$E$9+1,1))-AVERAGE(OFFSET($H$3,0,0,'Données projet'!$E$9+1,1))</f>
        <v>193.60868637458515</v>
      </c>
      <c r="T116" s="59">
        <f t="shared" si="88"/>
        <v>272.97841038165217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-1.3567387213697657E-13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281.79835088425858</v>
      </c>
      <c r="AO116" s="59">
        <f t="shared" si="90"/>
        <v>345.4750813433123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343.6089004382095</v>
      </c>
      <c r="BJ116" s="59">
        <f t="shared" si="92"/>
        <v>278.21741231699929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4.4337866711430253E-14</v>
      </c>
      <c r="CA116" s="13">
        <f t="shared" si="93"/>
        <v>7.3222115536967035E-13</v>
      </c>
      <c r="CB116" s="20">
        <f t="shared" si="64"/>
        <v>1.3525069634579169E-12</v>
      </c>
      <c r="CC116" s="59">
        <f t="shared" si="65"/>
        <v>293.33333333333468</v>
      </c>
      <c r="CD116" s="59">
        <f ca="1">AVERAGE(OFFSET($CC$3,0,0,'Données projet'!$E$12+1,1))-AVERAGE(OFFSET($H$3,0,0,'Données projet'!$E$12+1,1))</f>
        <v>288.82868507674738</v>
      </c>
      <c r="CE116" s="59">
        <f t="shared" si="94"/>
        <v>283.48738729114024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0.31397743913396647</v>
      </c>
      <c r="CM116" s="21">
        <f>EXP(-LN(2)/2)*CM115+(1-EXP(-LN(2)/2))/(LN(2)/2)*CG116*CJ116*VLOOKUP('Données projet'!$B$12,Paramètres!$A$1:$I$89,3,0)*0.475*44/12</f>
        <v>1.0515191858936874E-12</v>
      </c>
      <c r="CN116" s="22">
        <f t="shared" si="66"/>
        <v>0.31397743913501797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-5.6843418860808015E-14</v>
      </c>
      <c r="CU116" s="17">
        <f>CT116*VLOOKUP('Données projet'!$B$13,Paramètres!$A$1:$I$89,3,0)*VLOOKUP('Données projet'!$B$13,Paramètres!$A$1:$I$89,5,0)</f>
        <v>-4.8771653382573282E-14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273.73158910361786</v>
      </c>
      <c r="CZ116" s="59">
        <f t="shared" si="96"/>
        <v>256.77417912163997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-3.4106051316484809E-13</v>
      </c>
      <c r="DP116" s="17">
        <f>DO116*VLOOKUP('Données projet'!$B$14,Paramètres!$A$1:$I$89,3,0)*VLOOKUP('Données projet'!$B$14,Paramètres!$A$1:$I$89,5,0)</f>
        <v>-1.9065282685915009E-13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534.78683721545372</v>
      </c>
      <c r="DU116" s="59">
        <f t="shared" si="98"/>
        <v>710.59298755711075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1.0561765472550815</v>
      </c>
      <c r="EB116" s="21">
        <f>EXP(-LN(2)/25)*EB115+(1-EXP(-LN(2)/25))/(LN(2)/25)*Calculateur!DW116*Calculateur!DY116*VLOOKUP('Données projet'!$B$14,Paramètres!$A$1:$I$89,3,0)*0.475*44/12</f>
        <v>2.4225425624101788</v>
      </c>
      <c r="EC116" s="21">
        <f>EXP(-LN(2)/2)*EC115+(1-EXP(-LN(2)/2))/(LN(2)/2)*DW116*DZ116*VLOOKUP('Données projet'!$B$14,Paramètres!$A$1:$I$89,3,0)*0.475*44/12</f>
        <v>3.7620860061807169E-12</v>
      </c>
      <c r="ED116" s="22">
        <f t="shared" si="72"/>
        <v>3.4787191096690222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5.6843418860808015E-14</v>
      </c>
      <c r="EK116" s="17">
        <f>EJ116*VLOOKUP('Données projet'!$B$15,Paramètres!$A$1:$I$89,3,0)*VLOOKUP('Données projet'!$B$15,Paramètres!$A$1:$I$89,5,0)</f>
        <v>4.9658410716801891E-14</v>
      </c>
      <c r="EL116" s="13">
        <f t="shared" si="99"/>
        <v>8.0934058173791862E-13</v>
      </c>
      <c r="EM116" s="20">
        <f t="shared" si="73"/>
        <v>1.4960899118586383E-12</v>
      </c>
      <c r="EN116" s="59">
        <f t="shared" si="74"/>
        <v>293.33333333333479</v>
      </c>
      <c r="EO116" s="59">
        <f ca="1">AVERAGE(OFFSET($EN$3,0,0,'Données projet'!$E$15+1,1))-AVERAGE(OFFSET($H$3,0,0,'Données projet'!$E$15+1,1))</f>
        <v>255.2813753128475</v>
      </c>
      <c r="EP116" s="59">
        <f t="shared" si="100"/>
        <v>317.03005098025352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1.0901066915741966</v>
      </c>
      <c r="EW116" s="21">
        <f>EXP(-LN(2)/25)*EW115+(1-EXP(-LN(2)/25))/(LN(2)/25)*Calculateur!ER116*Calculateur!ET116*VLOOKUP('Données projet'!$B$15,Paramètres!$A$1:$I$89,3,0)*0.475*44/12</f>
        <v>1.7659021562329942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2.8560088478071908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1.7053025658242404E-13</v>
      </c>
      <c r="O117" s="13">
        <f>N117*VLOOKUP('Données projet'!$B$9,Paramètres!$A$1:$I$89,3,0)*VLOOKUP('Données projet'!$B$9,Paramètres!$A$1:$I$89,5,0)</f>
        <v>1.250327841262333E-13</v>
      </c>
      <c r="P117" s="13">
        <f t="shared" si="87"/>
        <v>1.8301318724634299E-12</v>
      </c>
      <c r="Q117" s="20">
        <f t="shared" si="107"/>
        <v>3.405245110226996E-12</v>
      </c>
      <c r="R117" s="59">
        <f t="shared" si="55"/>
        <v>293.33333333333672</v>
      </c>
      <c r="S117" s="59">
        <f ca="1">AVERAGE(OFFSET($R$3,0,0,'Données projet'!$E$9+1,1))-AVERAGE(OFFSET($H$3,0,0,'Données projet'!$E$9+1,1))</f>
        <v>193.60868637458515</v>
      </c>
      <c r="T117" s="59">
        <f t="shared" si="88"/>
        <v>272.97841038165217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-1.3567387213697657E-13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281.79835088425858</v>
      </c>
      <c r="AO117" s="59">
        <f t="shared" si="90"/>
        <v>345.4750813433123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343.6089004382095</v>
      </c>
      <c r="BJ117" s="59">
        <f t="shared" si="92"/>
        <v>278.21741231699929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4.4337866711430253E-14</v>
      </c>
      <c r="CA117" s="13">
        <f t="shared" si="93"/>
        <v>7.3222115536967035E-13</v>
      </c>
      <c r="CB117" s="20">
        <f t="shared" si="64"/>
        <v>1.3525069634579169E-12</v>
      </c>
      <c r="CC117" s="59">
        <f t="shared" si="65"/>
        <v>293.33333333333468</v>
      </c>
      <c r="CD117" s="59">
        <f ca="1">AVERAGE(OFFSET($CC$3,0,0,'Données projet'!$E$12+1,1))-AVERAGE(OFFSET($H$3,0,0,'Données projet'!$E$12+1,1))</f>
        <v>288.82868507674738</v>
      </c>
      <c r="CE117" s="59">
        <f t="shared" si="94"/>
        <v>283.48738729114024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0.30539170954949224</v>
      </c>
      <c r="CM117" s="21">
        <f>EXP(-LN(2)/2)*CM116+(1-EXP(-LN(2)/2))/(LN(2)/2)*CG117*CJ117*VLOOKUP('Données projet'!$B$12,Paramètres!$A$1:$I$89,3,0)*0.475*44/12</f>
        <v>7.4353634689318423E-13</v>
      </c>
      <c r="CN117" s="22">
        <f t="shared" si="66"/>
        <v>0.30539170955023576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-5.6843418860808015E-14</v>
      </c>
      <c r="CU117" s="17">
        <f>CT117*VLOOKUP('Données projet'!$B$13,Paramètres!$A$1:$I$89,3,0)*VLOOKUP('Données projet'!$B$13,Paramètres!$A$1:$I$89,5,0)</f>
        <v>-4.8771653382573282E-14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273.73158910361786</v>
      </c>
      <c r="CZ117" s="59">
        <f t="shared" si="96"/>
        <v>256.77417912163997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-3.4106051316484809E-13</v>
      </c>
      <c r="DP117" s="17">
        <f>DO117*VLOOKUP('Données projet'!$B$14,Paramètres!$A$1:$I$89,3,0)*VLOOKUP('Données projet'!$B$14,Paramètres!$A$1:$I$89,5,0)</f>
        <v>-1.9065282685915009E-13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534.78683721545372</v>
      </c>
      <c r="DU117" s="59">
        <f t="shared" si="98"/>
        <v>710.59298755711075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1.0354655693674932</v>
      </c>
      <c r="EB117" s="21">
        <f>EXP(-LN(2)/25)*EB116+(1-EXP(-LN(2)/25))/(LN(2)/25)*Calculateur!DW117*Calculateur!DY117*VLOOKUP('Données projet'!$B$14,Paramètres!$A$1:$I$89,3,0)*0.475*44/12</f>
        <v>2.356298008645096</v>
      </c>
      <c r="EC117" s="21">
        <f>EXP(-LN(2)/2)*EC116+(1-EXP(-LN(2)/2))/(LN(2)/2)*DW117*DZ117*VLOOKUP('Données projet'!$B$14,Paramètres!$A$1:$I$89,3,0)*0.475*44/12</f>
        <v>2.6601965263774006E-12</v>
      </c>
      <c r="ED117" s="22">
        <f t="shared" si="72"/>
        <v>3.3917635780152491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5.6843418860808015E-14</v>
      </c>
      <c r="EK117" s="17">
        <f>EJ117*VLOOKUP('Données projet'!$B$15,Paramètres!$A$1:$I$89,3,0)*VLOOKUP('Données projet'!$B$15,Paramètres!$A$1:$I$89,5,0)</f>
        <v>4.9658410716801891E-14</v>
      </c>
      <c r="EL117" s="13">
        <f t="shared" si="99"/>
        <v>8.0934058173791862E-13</v>
      </c>
      <c r="EM117" s="20">
        <f t="shared" si="73"/>
        <v>1.4960899118586383E-12</v>
      </c>
      <c r="EN117" s="59">
        <f t="shared" si="74"/>
        <v>293.33333333333479</v>
      </c>
      <c r="EO117" s="59">
        <f ca="1">AVERAGE(OFFSET($EN$3,0,0,'Données projet'!$E$15+1,1))-AVERAGE(OFFSET($H$3,0,0,'Données projet'!$E$15+1,1))</f>
        <v>255.2813753128475</v>
      </c>
      <c r="EP117" s="59">
        <f t="shared" si="100"/>
        <v>317.03005098025352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1.0687303642518551</v>
      </c>
      <c r="EW117" s="21">
        <f>EXP(-LN(2)/25)*EW116+(1-EXP(-LN(2)/25))/(LN(2)/25)*Calculateur!ER117*Calculateur!ET117*VLOOKUP('Données projet'!$B$15,Paramètres!$A$1:$I$89,3,0)*0.475*44/12</f>
        <v>1.7176134689060445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2.7863438331578996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1.7053025658242404E-13</v>
      </c>
      <c r="O118" s="13">
        <f>N118*VLOOKUP('Données projet'!$B$9,Paramètres!$A$1:$I$89,3,0)*VLOOKUP('Données projet'!$B$9,Paramètres!$A$1:$I$89,5,0)</f>
        <v>1.250327841262333E-13</v>
      </c>
      <c r="P118" s="13">
        <f t="shared" si="87"/>
        <v>1.8301318724634299E-12</v>
      </c>
      <c r="Q118" s="20">
        <f t="shared" si="107"/>
        <v>3.405245110226996E-12</v>
      </c>
      <c r="R118" s="59">
        <f t="shared" si="55"/>
        <v>293.33333333333672</v>
      </c>
      <c r="S118" s="59">
        <f ca="1">AVERAGE(OFFSET($R$3,0,0,'Données projet'!$E$9+1,1))-AVERAGE(OFFSET($H$3,0,0,'Données projet'!$E$9+1,1))</f>
        <v>193.60868637458515</v>
      </c>
      <c r="T118" s="59">
        <f t="shared" si="88"/>
        <v>272.97841038165217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-1.3567387213697657E-13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281.79835088425858</v>
      </c>
      <c r="AO118" s="59">
        <f t="shared" si="90"/>
        <v>345.4750813433123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343.6089004382095</v>
      </c>
      <c r="BJ118" s="59">
        <f t="shared" si="92"/>
        <v>278.21741231699929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4.4337866711430253E-14</v>
      </c>
      <c r="CA118" s="13">
        <f t="shared" si="93"/>
        <v>7.3222115536967035E-13</v>
      </c>
      <c r="CB118" s="20">
        <f t="shared" si="64"/>
        <v>1.3525069634579169E-12</v>
      </c>
      <c r="CC118" s="59">
        <f t="shared" si="65"/>
        <v>293.33333333333468</v>
      </c>
      <c r="CD118" s="59">
        <f ca="1">AVERAGE(OFFSET($CC$3,0,0,'Données projet'!$E$12+1,1))-AVERAGE(OFFSET($H$3,0,0,'Données projet'!$E$12+1,1))</f>
        <v>288.82868507674738</v>
      </c>
      <c r="CE118" s="59">
        <f t="shared" si="94"/>
        <v>283.48738729114024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0.29704075719200934</v>
      </c>
      <c r="CM118" s="21">
        <f>EXP(-LN(2)/2)*CM117+(1-EXP(-LN(2)/2))/(LN(2)/2)*CG118*CJ118*VLOOKUP('Données projet'!$B$12,Paramètres!$A$1:$I$89,3,0)*0.475*44/12</f>
        <v>5.2575959294684371E-13</v>
      </c>
      <c r="CN118" s="22">
        <f t="shared" si="66"/>
        <v>0.29704075719253509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-5.6843418860808015E-14</v>
      </c>
      <c r="CU118" s="17">
        <f>CT118*VLOOKUP('Données projet'!$B$13,Paramètres!$A$1:$I$89,3,0)*VLOOKUP('Données projet'!$B$13,Paramètres!$A$1:$I$89,5,0)</f>
        <v>-4.8771653382573282E-14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273.73158910361786</v>
      </c>
      <c r="CZ118" s="59">
        <f t="shared" si="96"/>
        <v>256.77417912163997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-3.4106051316484809E-13</v>
      </c>
      <c r="DP118" s="17">
        <f>DO118*VLOOKUP('Données projet'!$B$14,Paramètres!$A$1:$I$89,3,0)*VLOOKUP('Données projet'!$B$14,Paramètres!$A$1:$I$89,5,0)</f>
        <v>-1.9065282685915009E-13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534.78683721545372</v>
      </c>
      <c r="DU118" s="59">
        <f t="shared" si="98"/>
        <v>710.59298755711075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1.0151607211238314</v>
      </c>
      <c r="EB118" s="21">
        <f>EXP(-LN(2)/25)*EB117+(1-EXP(-LN(2)/25))/(LN(2)/25)*Calculateur!DW118*Calculateur!DY118*VLOOKUP('Données projet'!$B$14,Paramètres!$A$1:$I$89,3,0)*0.475*44/12</f>
        <v>2.2918649156863689</v>
      </c>
      <c r="EC118" s="21">
        <f>EXP(-LN(2)/2)*EC117+(1-EXP(-LN(2)/2))/(LN(2)/2)*DW118*DZ118*VLOOKUP('Données projet'!$B$14,Paramètres!$A$1:$I$89,3,0)*0.475*44/12</f>
        <v>1.8810430030903584E-12</v>
      </c>
      <c r="ED118" s="22">
        <f t="shared" si="72"/>
        <v>3.3070256368120816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5.6843418860808015E-14</v>
      </c>
      <c r="EK118" s="17">
        <f>EJ118*VLOOKUP('Données projet'!$B$15,Paramètres!$A$1:$I$89,3,0)*VLOOKUP('Données projet'!$B$15,Paramètres!$A$1:$I$89,5,0)</f>
        <v>4.9658410716801891E-14</v>
      </c>
      <c r="EL118" s="13">
        <f t="shared" si="99"/>
        <v>8.0934058173791862E-13</v>
      </c>
      <c r="EM118" s="20">
        <f t="shared" si="73"/>
        <v>1.4960899118586383E-12</v>
      </c>
      <c r="EN118" s="59">
        <f t="shared" si="74"/>
        <v>293.33333333333479</v>
      </c>
      <c r="EO118" s="59">
        <f ca="1">AVERAGE(OFFSET($EN$3,0,0,'Données projet'!$E$15+1,1))-AVERAGE(OFFSET($H$3,0,0,'Données projet'!$E$15+1,1))</f>
        <v>255.2813753128475</v>
      </c>
      <c r="EP118" s="59">
        <f t="shared" si="100"/>
        <v>317.03005098025352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1.0477732136700324</v>
      </c>
      <c r="EW118" s="21">
        <f>EXP(-LN(2)/25)*EW117+(1-EXP(-LN(2)/25))/(LN(2)/25)*Calculateur!ER118*Calculateur!ET118*VLOOKUP('Données projet'!$B$15,Paramètres!$A$1:$I$89,3,0)*0.475*44/12</f>
        <v>1.670645238273442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2.7184184519434744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1.7053025658242404E-13</v>
      </c>
      <c r="O119" s="13">
        <f>N119*VLOOKUP('Données projet'!$B$9,Paramètres!$A$1:$I$89,3,0)*VLOOKUP('Données projet'!$B$9,Paramètres!$A$1:$I$89,5,0)</f>
        <v>1.250327841262333E-13</v>
      </c>
      <c r="P119" s="13">
        <f t="shared" si="87"/>
        <v>1.8301318724634299E-12</v>
      </c>
      <c r="Q119" s="20">
        <f t="shared" si="107"/>
        <v>3.405245110226996E-12</v>
      </c>
      <c r="R119" s="59">
        <f t="shared" si="55"/>
        <v>293.33333333333672</v>
      </c>
      <c r="S119" s="59">
        <f ca="1">AVERAGE(OFFSET($R$3,0,0,'Données projet'!$E$9+1,1))-AVERAGE(OFFSET($H$3,0,0,'Données projet'!$E$9+1,1))</f>
        <v>193.60868637458515</v>
      </c>
      <c r="T119" s="59">
        <f t="shared" si="88"/>
        <v>272.97841038165217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-1.3567387213697657E-13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281.79835088425858</v>
      </c>
      <c r="AO119" s="59">
        <f t="shared" si="90"/>
        <v>345.4750813433123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343.6089004382095</v>
      </c>
      <c r="BJ119" s="59">
        <f t="shared" si="92"/>
        <v>278.21741231699929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4.4337866711430253E-14</v>
      </c>
      <c r="CA119" s="13">
        <f t="shared" si="93"/>
        <v>7.3222115536967035E-13</v>
      </c>
      <c r="CB119" s="20">
        <f t="shared" si="64"/>
        <v>1.3525069634579169E-12</v>
      </c>
      <c r="CC119" s="59">
        <f t="shared" si="65"/>
        <v>293.33333333333468</v>
      </c>
      <c r="CD119" s="59">
        <f ca="1">AVERAGE(OFFSET($CC$3,0,0,'Données projet'!$E$12+1,1))-AVERAGE(OFFSET($H$3,0,0,'Données projet'!$E$12+1,1))</f>
        <v>288.82868507674738</v>
      </c>
      <c r="CE119" s="59">
        <f t="shared" si="94"/>
        <v>283.48738729114024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0.28891816206589932</v>
      </c>
      <c r="CM119" s="21">
        <f>EXP(-LN(2)/2)*CM118+(1-EXP(-LN(2)/2))/(LN(2)/2)*CG119*CJ119*VLOOKUP('Données projet'!$B$12,Paramètres!$A$1:$I$89,3,0)*0.475*44/12</f>
        <v>3.7176817344659212E-13</v>
      </c>
      <c r="CN119" s="22">
        <f t="shared" si="66"/>
        <v>0.28891816206627108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-5.6843418860808015E-14</v>
      </c>
      <c r="CU119" s="17">
        <f>CT119*VLOOKUP('Données projet'!$B$13,Paramètres!$A$1:$I$89,3,0)*VLOOKUP('Données projet'!$B$13,Paramètres!$A$1:$I$89,5,0)</f>
        <v>-4.8771653382573282E-14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273.73158910361786</v>
      </c>
      <c r="CZ119" s="59">
        <f t="shared" si="96"/>
        <v>256.77417912163997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-3.4106051316484809E-13</v>
      </c>
      <c r="DP119" s="17">
        <f>DO119*VLOOKUP('Données projet'!$B$14,Paramètres!$A$1:$I$89,3,0)*VLOOKUP('Données projet'!$B$14,Paramètres!$A$1:$I$89,5,0)</f>
        <v>-1.9065282685915009E-13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534.78683721545372</v>
      </c>
      <c r="DU119" s="59">
        <f t="shared" si="98"/>
        <v>710.59298755711075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0.99525403856949335</v>
      </c>
      <c r="EB119" s="21">
        <f>EXP(-LN(2)/25)*EB118+(1-EXP(-LN(2)/25))/(LN(2)/25)*Calculateur!DW119*Calculateur!DY119*VLOOKUP('Données projet'!$B$14,Paramètres!$A$1:$I$89,3,0)*0.475*44/12</f>
        <v>2.2291937490429872</v>
      </c>
      <c r="EC119" s="21">
        <f>EXP(-LN(2)/2)*EC118+(1-EXP(-LN(2)/2))/(LN(2)/2)*DW119*DZ119*VLOOKUP('Données projet'!$B$14,Paramètres!$A$1:$I$89,3,0)*0.475*44/12</f>
        <v>1.3300982631887003E-12</v>
      </c>
      <c r="ED119" s="22">
        <f t="shared" si="72"/>
        <v>3.2244477876138107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5.6843418860808015E-14</v>
      </c>
      <c r="EK119" s="17">
        <f>EJ119*VLOOKUP('Données projet'!$B$15,Paramètres!$A$1:$I$89,3,0)*VLOOKUP('Données projet'!$B$15,Paramètres!$A$1:$I$89,5,0)</f>
        <v>4.9658410716801891E-14</v>
      </c>
      <c r="EL119" s="13">
        <f t="shared" si="99"/>
        <v>8.0934058173791862E-13</v>
      </c>
      <c r="EM119" s="20">
        <f t="shared" si="73"/>
        <v>1.4960899118586383E-12</v>
      </c>
      <c r="EN119" s="59">
        <f t="shared" si="74"/>
        <v>293.33333333333479</v>
      </c>
      <c r="EO119" s="59">
        <f ca="1">AVERAGE(OFFSET($EN$3,0,0,'Données projet'!$E$15+1,1))-AVERAGE(OFFSET($H$3,0,0,'Données projet'!$E$15+1,1))</f>
        <v>255.2813753128475</v>
      </c>
      <c r="EP119" s="59">
        <f t="shared" si="100"/>
        <v>317.03005098025352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1.0272270200285196</v>
      </c>
      <c r="EW119" s="21">
        <f>EXP(-LN(2)/25)*EW118+(1-EXP(-LN(2)/25))/(LN(2)/25)*Calculateur!ER119*Calculateur!ET119*VLOOKUP('Données projet'!$B$15,Paramètres!$A$1:$I$89,3,0)*0.475*44/12</f>
        <v>1.6249613563774399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2.6521883764059595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1.7053025658242404E-13</v>
      </c>
      <c r="O120" s="13">
        <f>N120*VLOOKUP('Données projet'!$B$9,Paramètres!$A$1:$I$89,3,0)*VLOOKUP('Données projet'!$B$9,Paramètres!$A$1:$I$89,5,0)</f>
        <v>1.250327841262333E-13</v>
      </c>
      <c r="P120" s="13">
        <f t="shared" si="87"/>
        <v>1.8301318724634299E-12</v>
      </c>
      <c r="Q120" s="20">
        <f t="shared" si="107"/>
        <v>3.405245110226996E-12</v>
      </c>
      <c r="R120" s="59">
        <f t="shared" si="55"/>
        <v>293.33333333333672</v>
      </c>
      <c r="S120" s="59">
        <f ca="1">AVERAGE(OFFSET($R$3,0,0,'Données projet'!$E$9+1,1))-AVERAGE(OFFSET($H$3,0,0,'Données projet'!$E$9+1,1))</f>
        <v>193.60868637458515</v>
      </c>
      <c r="T120" s="59">
        <f t="shared" si="88"/>
        <v>272.97841038165217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-1.3567387213697657E-13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281.79835088425858</v>
      </c>
      <c r="AO120" s="59">
        <f t="shared" si="90"/>
        <v>345.4750813433123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343.6089004382095</v>
      </c>
      <c r="BJ120" s="59">
        <f t="shared" si="92"/>
        <v>278.21741231699929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4.4337866711430253E-14</v>
      </c>
      <c r="CA120" s="13">
        <f t="shared" si="93"/>
        <v>7.3222115536967035E-13</v>
      </c>
      <c r="CB120" s="20">
        <f t="shared" si="64"/>
        <v>1.3525069634579169E-12</v>
      </c>
      <c r="CC120" s="59">
        <f t="shared" si="65"/>
        <v>293.33333333333468</v>
      </c>
      <c r="CD120" s="59">
        <f ca="1">AVERAGE(OFFSET($CC$3,0,0,'Données projet'!$E$12+1,1))-AVERAGE(OFFSET($H$3,0,0,'Données projet'!$E$12+1,1))</f>
        <v>288.82868507674738</v>
      </c>
      <c r="CE120" s="59">
        <f t="shared" si="94"/>
        <v>283.48738729114024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0.2810176797306615</v>
      </c>
      <c r="CM120" s="21">
        <f>EXP(-LN(2)/2)*CM119+(1-EXP(-LN(2)/2))/(LN(2)/2)*CG120*CJ120*VLOOKUP('Données projet'!$B$12,Paramètres!$A$1:$I$89,3,0)*0.475*44/12</f>
        <v>2.6287979647342186E-13</v>
      </c>
      <c r="CN120" s="22">
        <f t="shared" si="66"/>
        <v>0.2810176797309244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-5.6843418860808015E-14</v>
      </c>
      <c r="CU120" s="17">
        <f>CT120*VLOOKUP('Données projet'!$B$13,Paramètres!$A$1:$I$89,3,0)*VLOOKUP('Données projet'!$B$13,Paramètres!$A$1:$I$89,5,0)</f>
        <v>-4.8771653382573282E-14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273.73158910361786</v>
      </c>
      <c r="CZ120" s="59">
        <f t="shared" si="96"/>
        <v>256.77417912163997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-3.4106051316484809E-13</v>
      </c>
      <c r="DP120" s="17">
        <f>DO120*VLOOKUP('Données projet'!$B$14,Paramètres!$A$1:$I$89,3,0)*VLOOKUP('Données projet'!$B$14,Paramètres!$A$1:$I$89,5,0)</f>
        <v>-1.9065282685915009E-13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534.78683721545372</v>
      </c>
      <c r="DU120" s="59">
        <f t="shared" si="98"/>
        <v>710.59298755711075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0.97573771391816844</v>
      </c>
      <c r="EB120" s="21">
        <f>EXP(-LN(2)/25)*EB119+(1-EXP(-LN(2)/25))/(LN(2)/25)*Calculateur!DW120*Calculateur!DY120*VLOOKUP('Données projet'!$B$14,Paramètres!$A$1:$I$89,3,0)*0.475*44/12</f>
        <v>2.1682363287472022</v>
      </c>
      <c r="EC120" s="21">
        <f>EXP(-LN(2)/2)*EC119+(1-EXP(-LN(2)/2))/(LN(2)/2)*DW120*DZ120*VLOOKUP('Données projet'!$B$14,Paramètres!$A$1:$I$89,3,0)*0.475*44/12</f>
        <v>9.4052150154517921E-13</v>
      </c>
      <c r="ED120" s="22">
        <f t="shared" si="72"/>
        <v>3.1439740426663114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5.6843418860808015E-14</v>
      </c>
      <c r="EK120" s="17">
        <f>EJ120*VLOOKUP('Données projet'!$B$15,Paramètres!$A$1:$I$89,3,0)*VLOOKUP('Données projet'!$B$15,Paramètres!$A$1:$I$89,5,0)</f>
        <v>4.9658410716801891E-14</v>
      </c>
      <c r="EL120" s="13">
        <f t="shared" si="99"/>
        <v>8.0934058173791862E-13</v>
      </c>
      <c r="EM120" s="20">
        <f t="shared" si="73"/>
        <v>1.4960899118586383E-12</v>
      </c>
      <c r="EN120" s="59">
        <f t="shared" si="74"/>
        <v>293.33333333333479</v>
      </c>
      <c r="EO120" s="59">
        <f ca="1">AVERAGE(OFFSET($EN$3,0,0,'Données projet'!$E$15+1,1))-AVERAGE(OFFSET($H$3,0,0,'Données projet'!$E$15+1,1))</f>
        <v>255.2813753128475</v>
      </c>
      <c r="EP120" s="59">
        <f t="shared" si="100"/>
        <v>317.03005098025352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1.0070837247123763</v>
      </c>
      <c r="EW120" s="21">
        <f>EXP(-LN(2)/25)*EW119+(1-EXP(-LN(2)/25))/(LN(2)/25)*Calculateur!ER120*Calculateur!ET120*VLOOKUP('Données projet'!$B$15,Paramètres!$A$1:$I$89,3,0)*0.475*44/12</f>
        <v>1.5805267026342948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2.5876104273466711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1.7053025658242404E-13</v>
      </c>
      <c r="O121" s="13">
        <f>N121*VLOOKUP('Données projet'!$B$9,Paramètres!$A$1:$I$89,3,0)*VLOOKUP('Données projet'!$B$9,Paramètres!$A$1:$I$89,5,0)</f>
        <v>1.250327841262333E-13</v>
      </c>
      <c r="P121" s="13">
        <f t="shared" si="87"/>
        <v>1.8301318724634299E-12</v>
      </c>
      <c r="Q121" s="20">
        <f t="shared" si="107"/>
        <v>3.405245110226996E-12</v>
      </c>
      <c r="R121" s="59">
        <f t="shared" si="55"/>
        <v>293.33333333333672</v>
      </c>
      <c r="S121" s="59">
        <f ca="1">AVERAGE(OFFSET($R$3,0,0,'Données projet'!$E$9+1,1))-AVERAGE(OFFSET($H$3,0,0,'Données projet'!$E$9+1,1))</f>
        <v>193.60868637458515</v>
      </c>
      <c r="T121" s="59">
        <f t="shared" si="88"/>
        <v>272.97841038165217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-1.3567387213697657E-13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281.79835088425858</v>
      </c>
      <c r="AO121" s="59">
        <f t="shared" si="90"/>
        <v>345.4750813433123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343.6089004382095</v>
      </c>
      <c r="BJ121" s="59">
        <f t="shared" si="92"/>
        <v>278.21741231699929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4.4337866711430253E-14</v>
      </c>
      <c r="CA121" s="13">
        <f t="shared" si="93"/>
        <v>7.3222115536967035E-13</v>
      </c>
      <c r="CB121" s="20">
        <f t="shared" si="64"/>
        <v>1.3525069634579169E-12</v>
      </c>
      <c r="CC121" s="59">
        <f t="shared" si="65"/>
        <v>293.33333333333468</v>
      </c>
      <c r="CD121" s="59">
        <f ca="1">AVERAGE(OFFSET($CC$3,0,0,'Données projet'!$E$12+1,1))-AVERAGE(OFFSET($H$3,0,0,'Données projet'!$E$12+1,1))</f>
        <v>288.82868507674738</v>
      </c>
      <c r="CE121" s="59">
        <f t="shared" si="94"/>
        <v>283.48738729114024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0.27333323650034907</v>
      </c>
      <c r="CM121" s="21">
        <f>EXP(-LN(2)/2)*CM120+(1-EXP(-LN(2)/2))/(LN(2)/2)*CG121*CJ121*VLOOKUP('Données projet'!$B$12,Paramètres!$A$1:$I$89,3,0)*0.475*44/12</f>
        <v>1.8588408672329606E-13</v>
      </c>
      <c r="CN121" s="22">
        <f t="shared" si="66"/>
        <v>0.27333323650053498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-5.6843418860808015E-14</v>
      </c>
      <c r="CU121" s="17">
        <f>CT121*VLOOKUP('Données projet'!$B$13,Paramètres!$A$1:$I$89,3,0)*VLOOKUP('Données projet'!$B$13,Paramètres!$A$1:$I$89,5,0)</f>
        <v>-4.8771653382573282E-14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273.73158910361786</v>
      </c>
      <c r="CZ121" s="59">
        <f t="shared" si="96"/>
        <v>256.77417912163997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-3.4106051316484809E-13</v>
      </c>
      <c r="DP121" s="17">
        <f>DO121*VLOOKUP('Données projet'!$B$14,Paramètres!$A$1:$I$89,3,0)*VLOOKUP('Données projet'!$B$14,Paramètres!$A$1:$I$89,5,0)</f>
        <v>-1.9065282685915009E-13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534.78683721545372</v>
      </c>
      <c r="DU121" s="59">
        <f t="shared" si="98"/>
        <v>710.59298755711075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0.95660409248947331</v>
      </c>
      <c r="EB121" s="21">
        <f>EXP(-LN(2)/25)*EB120+(1-EXP(-LN(2)/25))/(LN(2)/25)*Calculateur!DW121*Calculateur!DY121*VLOOKUP('Données projet'!$B$14,Paramètres!$A$1:$I$89,3,0)*0.475*44/12</f>
        <v>2.108945792315017</v>
      </c>
      <c r="EC121" s="21">
        <f>EXP(-LN(2)/2)*EC120+(1-EXP(-LN(2)/2))/(LN(2)/2)*DW121*DZ121*VLOOKUP('Données projet'!$B$14,Paramètres!$A$1:$I$89,3,0)*0.475*44/12</f>
        <v>6.6504913159435016E-13</v>
      </c>
      <c r="ED121" s="22">
        <f t="shared" si="72"/>
        <v>3.0655498848051557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5.6843418860808015E-14</v>
      </c>
      <c r="EK121" s="17">
        <f>EJ121*VLOOKUP('Données projet'!$B$15,Paramètres!$A$1:$I$89,3,0)*VLOOKUP('Données projet'!$B$15,Paramètres!$A$1:$I$89,5,0)</f>
        <v>4.9658410716801891E-14</v>
      </c>
      <c r="EL121" s="13">
        <f t="shared" si="99"/>
        <v>8.0934058173791862E-13</v>
      </c>
      <c r="EM121" s="20">
        <f t="shared" si="73"/>
        <v>1.4960899118586383E-12</v>
      </c>
      <c r="EN121" s="59">
        <f t="shared" si="74"/>
        <v>293.33333333333479</v>
      </c>
      <c r="EO121" s="59">
        <f ca="1">AVERAGE(OFFSET($EN$3,0,0,'Données projet'!$E$15+1,1))-AVERAGE(OFFSET($H$3,0,0,'Données projet'!$E$15+1,1))</f>
        <v>255.2813753128475</v>
      </c>
      <c r="EP121" s="59">
        <f t="shared" si="100"/>
        <v>317.03005098025352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0.98733542713118549</v>
      </c>
      <c r="EW121" s="21">
        <f>EXP(-LN(2)/25)*EW120+(1-EXP(-LN(2)/25))/(LN(2)/25)*Calculateur!ER121*Calculateur!ET121*VLOOKUP('Données projet'!$B$15,Paramètres!$A$1:$I$89,3,0)*0.475*44/12</f>
        <v>1.5373071168344732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2.5246425439656588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1.7053025658242404E-13</v>
      </c>
      <c r="O122" s="13">
        <f>N122*VLOOKUP('Données projet'!$B$9,Paramètres!$A$1:$I$89,3,0)*VLOOKUP('Données projet'!$B$9,Paramètres!$A$1:$I$89,5,0)</f>
        <v>1.250327841262333E-13</v>
      </c>
      <c r="P122" s="13">
        <f t="shared" si="87"/>
        <v>1.8301318724634299E-12</v>
      </c>
      <c r="Q122" s="20">
        <f t="shared" si="107"/>
        <v>3.405245110226996E-12</v>
      </c>
      <c r="R122" s="59">
        <f t="shared" si="55"/>
        <v>293.33333333333672</v>
      </c>
      <c r="S122" s="59">
        <f ca="1">AVERAGE(OFFSET($R$3,0,0,'Données projet'!$E$9+1,1))-AVERAGE(OFFSET($H$3,0,0,'Données projet'!$E$9+1,1))</f>
        <v>193.60868637458515</v>
      </c>
      <c r="T122" s="59">
        <f t="shared" si="88"/>
        <v>272.97841038165217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-1.3567387213697657E-13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281.79835088425858</v>
      </c>
      <c r="AO122" s="59">
        <f t="shared" si="90"/>
        <v>345.4750813433123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343.6089004382095</v>
      </c>
      <c r="BJ122" s="59">
        <f t="shared" si="92"/>
        <v>278.21741231699929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4.4337866711430253E-14</v>
      </c>
      <c r="CA122" s="13">
        <f t="shared" si="93"/>
        <v>7.3222115536967035E-13</v>
      </c>
      <c r="CB122" s="20">
        <f t="shared" si="64"/>
        <v>1.3525069634579169E-12</v>
      </c>
      <c r="CC122" s="59">
        <f t="shared" si="65"/>
        <v>293.33333333333468</v>
      </c>
      <c r="CD122" s="59">
        <f ca="1">AVERAGE(OFFSET($CC$3,0,0,'Données projet'!$E$12+1,1))-AVERAGE(OFFSET($H$3,0,0,'Données projet'!$E$12+1,1))</f>
        <v>288.82868507674738</v>
      </c>
      <c r="CE122" s="59">
        <f t="shared" si="94"/>
        <v>283.48738729114024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0.26585892477427681</v>
      </c>
      <c r="CM122" s="21">
        <f>EXP(-LN(2)/2)*CM121+(1-EXP(-LN(2)/2))/(LN(2)/2)*CG122*CJ122*VLOOKUP('Données projet'!$B$12,Paramètres!$A$1:$I$89,3,0)*0.475*44/12</f>
        <v>1.3143989823671093E-13</v>
      </c>
      <c r="CN122" s="22">
        <f t="shared" si="66"/>
        <v>0.26585892477440826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-5.6843418860808015E-14</v>
      </c>
      <c r="CU122" s="17">
        <f>CT122*VLOOKUP('Données projet'!$B$13,Paramètres!$A$1:$I$89,3,0)*VLOOKUP('Données projet'!$B$13,Paramètres!$A$1:$I$89,5,0)</f>
        <v>-4.8771653382573282E-14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273.73158910361786</v>
      </c>
      <c r="CZ122" s="59">
        <f t="shared" si="96"/>
        <v>256.77417912163997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-3.4106051316484809E-13</v>
      </c>
      <c r="DP122" s="17">
        <f>DO122*VLOOKUP('Données projet'!$B$14,Paramètres!$A$1:$I$89,3,0)*VLOOKUP('Données projet'!$B$14,Paramètres!$A$1:$I$89,5,0)</f>
        <v>-1.9065282685915009E-13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534.78683721545372</v>
      </c>
      <c r="DU122" s="59">
        <f t="shared" si="98"/>
        <v>710.59298755711075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0.93784566970663819</v>
      </c>
      <c r="EB122" s="21">
        <f>EXP(-LN(2)/25)*EB121+(1-EXP(-LN(2)/25))/(LN(2)/25)*Calculateur!DW122*Calculateur!DY122*VLOOKUP('Données projet'!$B$14,Paramètres!$A$1:$I$89,3,0)*0.475*44/12</f>
        <v>2.0512765587195236</v>
      </c>
      <c r="EC122" s="21">
        <f>EXP(-LN(2)/2)*EC121+(1-EXP(-LN(2)/2))/(LN(2)/2)*DW122*DZ122*VLOOKUP('Données projet'!$B$14,Paramètres!$A$1:$I$89,3,0)*0.475*44/12</f>
        <v>4.7026075077258961E-13</v>
      </c>
      <c r="ED122" s="22">
        <f t="shared" si="72"/>
        <v>2.9891222284266319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5.6843418860808015E-14</v>
      </c>
      <c r="EK122" s="17">
        <f>EJ122*VLOOKUP('Données projet'!$B$15,Paramètres!$A$1:$I$89,3,0)*VLOOKUP('Données projet'!$B$15,Paramètres!$A$1:$I$89,5,0)</f>
        <v>4.9658410716801891E-14</v>
      </c>
      <c r="EL122" s="13">
        <f t="shared" si="99"/>
        <v>8.0934058173791862E-13</v>
      </c>
      <c r="EM122" s="20">
        <f t="shared" si="73"/>
        <v>1.4960899118586383E-12</v>
      </c>
      <c r="EN122" s="59">
        <f t="shared" si="74"/>
        <v>293.33333333333479</v>
      </c>
      <c r="EO122" s="59">
        <f ca="1">AVERAGE(OFFSET($EN$3,0,0,'Données projet'!$E$15+1,1))-AVERAGE(OFFSET($H$3,0,0,'Données projet'!$E$15+1,1))</f>
        <v>255.2813753128475</v>
      </c>
      <c r="EP122" s="59">
        <f t="shared" si="100"/>
        <v>317.03005098025352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0.9679743816202897</v>
      </c>
      <c r="EW122" s="21">
        <f>EXP(-LN(2)/25)*EW121+(1-EXP(-LN(2)/25))/(LN(2)/25)*Calculateur!ER122*Calculateur!ET122*VLOOKUP('Données projet'!$B$15,Paramètres!$A$1:$I$89,3,0)*0.475*44/12</f>
        <v>1.4952693728811668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2.4632437545014563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1.7053025658242404E-13</v>
      </c>
      <c r="O123" s="13">
        <f>N123*VLOOKUP('Données projet'!$B$9,Paramètres!$A$1:$I$89,3,0)*VLOOKUP('Données projet'!$B$9,Paramètres!$A$1:$I$89,5,0)</f>
        <v>1.250327841262333E-13</v>
      </c>
      <c r="P123" s="13">
        <f t="shared" si="87"/>
        <v>1.8301318724634299E-12</v>
      </c>
      <c r="Q123" s="20">
        <f t="shared" si="107"/>
        <v>3.405245110226996E-12</v>
      </c>
      <c r="R123" s="59">
        <f t="shared" si="55"/>
        <v>293.33333333333672</v>
      </c>
      <c r="S123" s="59">
        <f ca="1">AVERAGE(OFFSET($R$3,0,0,'Données projet'!$E$9+1,1))-AVERAGE(OFFSET($H$3,0,0,'Données projet'!$E$9+1,1))</f>
        <v>193.60868637458515</v>
      </c>
      <c r="T123" s="59">
        <f t="shared" si="88"/>
        <v>272.97841038165217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-1.3567387213697657E-13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281.79835088425858</v>
      </c>
      <c r="AO123" s="59">
        <f t="shared" si="90"/>
        <v>345.4750813433123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343.6089004382095</v>
      </c>
      <c r="BJ123" s="59">
        <f t="shared" si="92"/>
        <v>278.21741231699929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4.4337866711430253E-14</v>
      </c>
      <c r="CA123" s="13">
        <f t="shared" si="93"/>
        <v>7.3222115536967035E-13</v>
      </c>
      <c r="CB123" s="20">
        <f t="shared" si="64"/>
        <v>1.3525069634579169E-12</v>
      </c>
      <c r="CC123" s="59">
        <f t="shared" si="65"/>
        <v>293.33333333333468</v>
      </c>
      <c r="CD123" s="59">
        <f ca="1">AVERAGE(OFFSET($CC$3,0,0,'Données projet'!$E$12+1,1))-AVERAGE(OFFSET($H$3,0,0,'Données projet'!$E$12+1,1))</f>
        <v>288.82868507674738</v>
      </c>
      <c r="CE123" s="59">
        <f t="shared" si="94"/>
        <v>283.48738729114024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0.258588998495411</v>
      </c>
      <c r="CM123" s="21">
        <f>EXP(-LN(2)/2)*CM122+(1-EXP(-LN(2)/2))/(LN(2)/2)*CG123*CJ123*VLOOKUP('Données projet'!$B$12,Paramètres!$A$1:$I$89,3,0)*0.475*44/12</f>
        <v>9.2942043361648029E-14</v>
      </c>
      <c r="CN123" s="22">
        <f t="shared" si="66"/>
        <v>0.25858899849550393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-5.6843418860808015E-14</v>
      </c>
      <c r="CU123" s="17">
        <f>CT123*VLOOKUP('Données projet'!$B$13,Paramètres!$A$1:$I$89,3,0)*VLOOKUP('Données projet'!$B$13,Paramètres!$A$1:$I$89,5,0)</f>
        <v>-4.8771653382573282E-14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273.73158910361786</v>
      </c>
      <c r="CZ123" s="59">
        <f t="shared" si="96"/>
        <v>256.77417912163997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-3.4106051316484809E-13</v>
      </c>
      <c r="DP123" s="17">
        <f>DO123*VLOOKUP('Données projet'!$B$14,Paramètres!$A$1:$I$89,3,0)*VLOOKUP('Données projet'!$B$14,Paramètres!$A$1:$I$89,5,0)</f>
        <v>-1.9065282685915009E-13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534.78683721545372</v>
      </c>
      <c r="DU123" s="59">
        <f t="shared" si="98"/>
        <v>710.59298755711075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0.91945508815306631</v>
      </c>
      <c r="EB123" s="21">
        <f>EXP(-LN(2)/25)*EB122+(1-EXP(-LN(2)/25))/(LN(2)/25)*Calculateur!DW123*Calculateur!DY123*VLOOKUP('Données projet'!$B$14,Paramètres!$A$1:$I$89,3,0)*0.475*44/12</f>
        <v>1.9951842933493924</v>
      </c>
      <c r="EC123" s="21">
        <f>EXP(-LN(2)/2)*EC122+(1-EXP(-LN(2)/2))/(LN(2)/2)*DW123*DZ123*VLOOKUP('Données projet'!$B$14,Paramètres!$A$1:$I$89,3,0)*0.475*44/12</f>
        <v>3.3252456579717508E-13</v>
      </c>
      <c r="ED123" s="22">
        <f t="shared" si="72"/>
        <v>2.9146393815027913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5.6843418860808015E-14</v>
      </c>
      <c r="EK123" s="17">
        <f>EJ123*VLOOKUP('Données projet'!$B$15,Paramètres!$A$1:$I$89,3,0)*VLOOKUP('Données projet'!$B$15,Paramètres!$A$1:$I$89,5,0)</f>
        <v>4.9658410716801891E-14</v>
      </c>
      <c r="EL123" s="13">
        <f t="shared" si="99"/>
        <v>8.0934058173791862E-13</v>
      </c>
      <c r="EM123" s="20">
        <f t="shared" si="73"/>
        <v>1.4960899118586383E-12</v>
      </c>
      <c r="EN123" s="59">
        <f t="shared" si="74"/>
        <v>293.33333333333479</v>
      </c>
      <c r="EO123" s="59">
        <f ca="1">AVERAGE(OFFSET($EN$3,0,0,'Données projet'!$E$15+1,1))-AVERAGE(OFFSET($H$3,0,0,'Données projet'!$E$15+1,1))</f>
        <v>255.2813753128475</v>
      </c>
      <c r="EP123" s="59">
        <f t="shared" si="100"/>
        <v>317.03005098025352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0.94899299440279083</v>
      </c>
      <c r="EW123" s="21">
        <f>EXP(-LN(2)/25)*EW122+(1-EXP(-LN(2)/25))/(LN(2)/25)*Calculateur!ER123*Calculateur!ET123*VLOOKUP('Données projet'!$B$15,Paramètres!$A$1:$I$89,3,0)*0.475*44/12</f>
        <v>1.4543811532469324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2.403374147649723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1.7053025658242404E-13</v>
      </c>
      <c r="O124" s="13">
        <f>N124*VLOOKUP('Données projet'!$B$9,Paramètres!$A$1:$I$89,3,0)*VLOOKUP('Données projet'!$B$9,Paramètres!$A$1:$I$89,5,0)</f>
        <v>1.250327841262333E-13</v>
      </c>
      <c r="P124" s="13">
        <f t="shared" si="87"/>
        <v>1.8301318724634299E-12</v>
      </c>
      <c r="Q124" s="20">
        <f t="shared" si="107"/>
        <v>3.405245110226996E-12</v>
      </c>
      <c r="R124" s="59">
        <f t="shared" si="55"/>
        <v>293.33333333333672</v>
      </c>
      <c r="S124" s="59">
        <f ca="1">AVERAGE(OFFSET($R$3,0,0,'Données projet'!$E$9+1,1))-AVERAGE(OFFSET($H$3,0,0,'Données projet'!$E$9+1,1))</f>
        <v>193.60868637458515</v>
      </c>
      <c r="T124" s="59">
        <f t="shared" si="88"/>
        <v>272.97841038165217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-1.3567387213697657E-13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281.79835088425858</v>
      </c>
      <c r="AO124" s="59">
        <f t="shared" si="90"/>
        <v>345.4750813433123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343.6089004382095</v>
      </c>
      <c r="BJ124" s="59">
        <f t="shared" si="92"/>
        <v>278.21741231699929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4.4337866711430253E-14</v>
      </c>
      <c r="CA124" s="13">
        <f t="shared" si="93"/>
        <v>7.3222115536967035E-13</v>
      </c>
      <c r="CB124" s="20">
        <f t="shared" si="64"/>
        <v>1.3525069634579169E-12</v>
      </c>
      <c r="CC124" s="59">
        <f t="shared" si="65"/>
        <v>293.33333333333468</v>
      </c>
      <c r="CD124" s="59">
        <f ca="1">AVERAGE(OFFSET($CC$3,0,0,'Données projet'!$E$12+1,1))-AVERAGE(OFFSET($H$3,0,0,'Données projet'!$E$12+1,1))</f>
        <v>288.82868507674738</v>
      </c>
      <c r="CE124" s="59">
        <f t="shared" si="94"/>
        <v>283.48738729114024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0.25151786873294957</v>
      </c>
      <c r="CM124" s="21">
        <f>EXP(-LN(2)/2)*CM123+(1-EXP(-LN(2)/2))/(LN(2)/2)*CG124*CJ124*VLOOKUP('Données projet'!$B$12,Paramètres!$A$1:$I$89,3,0)*0.475*44/12</f>
        <v>6.5719949118355464E-14</v>
      </c>
      <c r="CN124" s="22">
        <f t="shared" si="66"/>
        <v>0.25151786873301529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-5.6843418860808015E-14</v>
      </c>
      <c r="CU124" s="17">
        <f>CT124*VLOOKUP('Données projet'!$B$13,Paramètres!$A$1:$I$89,3,0)*VLOOKUP('Données projet'!$B$13,Paramètres!$A$1:$I$89,5,0)</f>
        <v>-4.8771653382573282E-14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273.73158910361786</v>
      </c>
      <c r="CZ124" s="59">
        <f t="shared" si="96"/>
        <v>256.77417912163997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-3.4106051316484809E-13</v>
      </c>
      <c r="DP124" s="17">
        <f>DO124*VLOOKUP('Données projet'!$B$14,Paramètres!$A$1:$I$89,3,0)*VLOOKUP('Données projet'!$B$14,Paramètres!$A$1:$I$89,5,0)</f>
        <v>-1.9065282685915009E-13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534.78683721545372</v>
      </c>
      <c r="DU124" s="59">
        <f t="shared" si="98"/>
        <v>710.59298755711075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0.90142513468661289</v>
      </c>
      <c r="EB124" s="21">
        <f>EXP(-LN(2)/25)*EB123+(1-EXP(-LN(2)/25))/(LN(2)/25)*Calculateur!DW124*Calculateur!DY124*VLOOKUP('Données projet'!$B$14,Paramètres!$A$1:$I$89,3,0)*0.475*44/12</f>
        <v>1.9406258739255713</v>
      </c>
      <c r="EC124" s="21">
        <f>EXP(-LN(2)/2)*EC123+(1-EXP(-LN(2)/2))/(LN(2)/2)*DW124*DZ124*VLOOKUP('Données projet'!$B$14,Paramètres!$A$1:$I$89,3,0)*0.475*44/12</f>
        <v>2.351303753862948E-13</v>
      </c>
      <c r="ED124" s="22">
        <f t="shared" si="72"/>
        <v>2.8420510086124193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5.6843418860808015E-14</v>
      </c>
      <c r="EK124" s="17">
        <f>EJ124*VLOOKUP('Données projet'!$B$15,Paramètres!$A$1:$I$89,3,0)*VLOOKUP('Données projet'!$B$15,Paramètres!$A$1:$I$89,5,0)</f>
        <v>4.9658410716801891E-14</v>
      </c>
      <c r="EL124" s="13">
        <f t="shared" si="99"/>
        <v>8.0934058173791862E-13</v>
      </c>
      <c r="EM124" s="20">
        <f t="shared" si="73"/>
        <v>1.4960899118586383E-12</v>
      </c>
      <c r="EN124" s="59">
        <f t="shared" si="74"/>
        <v>293.33333333333479</v>
      </c>
      <c r="EO124" s="59">
        <f ca="1">AVERAGE(OFFSET($EN$3,0,0,'Données projet'!$E$15+1,1))-AVERAGE(OFFSET($H$3,0,0,'Données projet'!$E$15+1,1))</f>
        <v>255.2813753128475</v>
      </c>
      <c r="EP124" s="59">
        <f t="shared" si="100"/>
        <v>317.03005098025352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0.93038382061112412</v>
      </c>
      <c r="EW124" s="21">
        <f>EXP(-LN(2)/25)*EW123+(1-EXP(-LN(2)/25))/(LN(2)/25)*Calculateur!ER124*Calculateur!ET124*VLOOKUP('Données projet'!$B$15,Paramètres!$A$1:$I$89,3,0)*0.475*44/12</f>
        <v>1.4146110241288141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2.3449948447399382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1.7053025658242404E-13</v>
      </c>
      <c r="O125" s="13">
        <f>N125*VLOOKUP('Données projet'!$B$9,Paramètres!$A$1:$I$89,3,0)*VLOOKUP('Données projet'!$B$9,Paramètres!$A$1:$I$89,5,0)</f>
        <v>1.250327841262333E-13</v>
      </c>
      <c r="P125" s="13">
        <f t="shared" si="87"/>
        <v>1.8301318724634299E-12</v>
      </c>
      <c r="Q125" s="20">
        <f t="shared" si="107"/>
        <v>3.405245110226996E-12</v>
      </c>
      <c r="R125" s="59">
        <f t="shared" si="55"/>
        <v>293.33333333333672</v>
      </c>
      <c r="S125" s="59">
        <f ca="1">AVERAGE(OFFSET($R$3,0,0,'Données projet'!$E$9+1,1))-AVERAGE(OFFSET($H$3,0,0,'Données projet'!$E$9+1,1))</f>
        <v>193.60868637458515</v>
      </c>
      <c r="T125" s="59">
        <f t="shared" si="88"/>
        <v>272.97841038165217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-1.3567387213697657E-13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281.79835088425858</v>
      </c>
      <c r="AO125" s="59">
        <f t="shared" si="90"/>
        <v>345.4750813433123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343.6089004382095</v>
      </c>
      <c r="BJ125" s="59">
        <f t="shared" si="92"/>
        <v>278.21741231699929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4.4337866711430253E-14</v>
      </c>
      <c r="CA125" s="13">
        <f t="shared" si="93"/>
        <v>7.3222115536967035E-13</v>
      </c>
      <c r="CB125" s="20">
        <f t="shared" si="64"/>
        <v>1.3525069634579169E-12</v>
      </c>
      <c r="CC125" s="59">
        <f t="shared" si="65"/>
        <v>293.33333333333468</v>
      </c>
      <c r="CD125" s="59">
        <f ca="1">AVERAGE(OFFSET($CC$3,0,0,'Données projet'!$E$12+1,1))-AVERAGE(OFFSET($H$3,0,0,'Données projet'!$E$12+1,1))</f>
        <v>288.82868507674738</v>
      </c>
      <c r="CE125" s="59">
        <f t="shared" si="94"/>
        <v>283.48738729114024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0.2446400993856972</v>
      </c>
      <c r="CM125" s="21">
        <f>EXP(-LN(2)/2)*CM124+(1-EXP(-LN(2)/2))/(LN(2)/2)*CG125*CJ125*VLOOKUP('Données projet'!$B$12,Paramètres!$A$1:$I$89,3,0)*0.475*44/12</f>
        <v>4.6471021680824015E-14</v>
      </c>
      <c r="CN125" s="22">
        <f t="shared" si="66"/>
        <v>0.24464009938574366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-5.6843418860808015E-14</v>
      </c>
      <c r="CU125" s="17">
        <f>CT125*VLOOKUP('Données projet'!$B$13,Paramètres!$A$1:$I$89,3,0)*VLOOKUP('Données projet'!$B$13,Paramètres!$A$1:$I$89,5,0)</f>
        <v>-4.8771653382573282E-14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273.73158910361786</v>
      </c>
      <c r="CZ125" s="59">
        <f t="shared" si="96"/>
        <v>256.77417912163997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-3.4106051316484809E-13</v>
      </c>
      <c r="DP125" s="17">
        <f>DO125*VLOOKUP('Données projet'!$B$14,Paramètres!$A$1:$I$89,3,0)*VLOOKUP('Données projet'!$B$14,Paramètres!$A$1:$I$89,5,0)</f>
        <v>-1.9065282685915009E-13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534.78683721545372</v>
      </c>
      <c r="DU125" s="59">
        <f t="shared" si="98"/>
        <v>710.59298755711075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0.88374873761045081</v>
      </c>
      <c r="EB125" s="21">
        <f>EXP(-LN(2)/25)*EB124+(1-EXP(-LN(2)/25))/(LN(2)/25)*Calculateur!DW125*Calculateur!DY125*VLOOKUP('Données projet'!$B$14,Paramètres!$A$1:$I$89,3,0)*0.475*44/12</f>
        <v>1.8875593573499971</v>
      </c>
      <c r="EC125" s="21">
        <f>EXP(-LN(2)/2)*EC124+(1-EXP(-LN(2)/2))/(LN(2)/2)*DW125*DZ125*VLOOKUP('Données projet'!$B$14,Paramètres!$A$1:$I$89,3,0)*0.475*44/12</f>
        <v>1.6626228289858754E-13</v>
      </c>
      <c r="ED125" s="22">
        <f t="shared" si="72"/>
        <v>2.7713080949606139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5.6843418860808015E-14</v>
      </c>
      <c r="EK125" s="17">
        <f>EJ125*VLOOKUP('Données projet'!$B$15,Paramètres!$A$1:$I$89,3,0)*VLOOKUP('Données projet'!$B$15,Paramètres!$A$1:$I$89,5,0)</f>
        <v>4.9658410716801891E-14</v>
      </c>
      <c r="EL125" s="13">
        <f t="shared" si="99"/>
        <v>8.0934058173791862E-13</v>
      </c>
      <c r="EM125" s="20">
        <f t="shared" si="73"/>
        <v>1.4960899118586383E-12</v>
      </c>
      <c r="EN125" s="59">
        <f t="shared" si="74"/>
        <v>293.33333333333479</v>
      </c>
      <c r="EO125" s="59">
        <f ca="1">AVERAGE(OFFSET($EN$3,0,0,'Données projet'!$E$15+1,1))-AVERAGE(OFFSET($H$3,0,0,'Données projet'!$E$15+1,1))</f>
        <v>255.2813753128475</v>
      </c>
      <c r="EP125" s="59">
        <f t="shared" si="100"/>
        <v>317.03005098025352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0.91213956136703678</v>
      </c>
      <c r="EW125" s="21">
        <f>EXP(-LN(2)/25)*EW124+(1-EXP(-LN(2)/25))/(LN(2)/25)*Calculateur!ER125*Calculateur!ET125*VLOOKUP('Données projet'!$B$15,Paramètres!$A$1:$I$89,3,0)*0.475*44/12</f>
        <v>1.3759284112828511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2.288067972649888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1.7053025658242404E-13</v>
      </c>
      <c r="O126" s="13">
        <f>N126*VLOOKUP('Données projet'!$B$9,Paramètres!$A$1:$I$89,3,0)*VLOOKUP('Données projet'!$B$9,Paramètres!$A$1:$I$89,5,0)</f>
        <v>1.250327841262333E-13</v>
      </c>
      <c r="P126" s="13">
        <f t="shared" si="87"/>
        <v>1.8301318724634299E-12</v>
      </c>
      <c r="Q126" s="20">
        <f t="shared" si="107"/>
        <v>3.405245110226996E-12</v>
      </c>
      <c r="R126" s="59">
        <f t="shared" si="55"/>
        <v>293.33333333333672</v>
      </c>
      <c r="S126" s="59">
        <f ca="1">AVERAGE(OFFSET($R$3,0,0,'Données projet'!$E$9+1,1))-AVERAGE(OFFSET($H$3,0,0,'Données projet'!$E$9+1,1))</f>
        <v>193.60868637458515</v>
      </c>
      <c r="T126" s="59">
        <f t="shared" si="88"/>
        <v>272.97841038165217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-1.3567387213697657E-13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281.79835088425858</v>
      </c>
      <c r="AO126" s="59">
        <f t="shared" si="90"/>
        <v>345.4750813433123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343.6089004382095</v>
      </c>
      <c r="BJ126" s="59">
        <f t="shared" si="92"/>
        <v>278.21741231699929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4.4337866711430253E-14</v>
      </c>
      <c r="CA126" s="13">
        <f t="shared" si="93"/>
        <v>7.3222115536967035E-13</v>
      </c>
      <c r="CB126" s="20">
        <f t="shared" si="64"/>
        <v>1.3525069634579169E-12</v>
      </c>
      <c r="CC126" s="59">
        <f t="shared" si="65"/>
        <v>293.33333333333468</v>
      </c>
      <c r="CD126" s="59">
        <f ca="1">AVERAGE(OFFSET($CC$3,0,0,'Données projet'!$E$12+1,1))-AVERAGE(OFFSET($H$3,0,0,'Données projet'!$E$12+1,1))</f>
        <v>288.82868507674738</v>
      </c>
      <c r="CE126" s="59">
        <f t="shared" si="94"/>
        <v>283.48738729114024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0.2379504030029316</v>
      </c>
      <c r="CM126" s="21">
        <f>EXP(-LN(2)/2)*CM125+(1-EXP(-LN(2)/2))/(LN(2)/2)*CG126*CJ126*VLOOKUP('Données projet'!$B$12,Paramètres!$A$1:$I$89,3,0)*0.475*44/12</f>
        <v>3.2859974559177732E-14</v>
      </c>
      <c r="CN126" s="22">
        <f t="shared" si="66"/>
        <v>0.23795040300296447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-5.6843418860808015E-14</v>
      </c>
      <c r="CU126" s="17">
        <f>CT126*VLOOKUP('Données projet'!$B$13,Paramètres!$A$1:$I$89,3,0)*VLOOKUP('Données projet'!$B$13,Paramètres!$A$1:$I$89,5,0)</f>
        <v>-4.8771653382573282E-14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273.73158910361786</v>
      </c>
      <c r="CZ126" s="59">
        <f t="shared" si="96"/>
        <v>256.77417912163997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-3.4106051316484809E-13</v>
      </c>
      <c r="DP126" s="17">
        <f>DO126*VLOOKUP('Données projet'!$B$14,Paramètres!$A$1:$I$89,3,0)*VLOOKUP('Données projet'!$B$14,Paramètres!$A$1:$I$89,5,0)</f>
        <v>-1.9065282685915009E-13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534.78683721545372</v>
      </c>
      <c r="DU126" s="59">
        <f t="shared" si="98"/>
        <v>710.59298755711075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0.86641896389941464</v>
      </c>
      <c r="EB126" s="21">
        <f>EXP(-LN(2)/25)*EB125+(1-EXP(-LN(2)/25))/(LN(2)/25)*Calculateur!DW126*Calculateur!DY126*VLOOKUP('Données projet'!$B$14,Paramètres!$A$1:$I$89,3,0)*0.475*44/12</f>
        <v>1.835943947460829</v>
      </c>
      <c r="EC126" s="21">
        <f>EXP(-LN(2)/2)*EC125+(1-EXP(-LN(2)/2))/(LN(2)/2)*DW126*DZ126*VLOOKUP('Données projet'!$B$14,Paramètres!$A$1:$I$89,3,0)*0.475*44/12</f>
        <v>1.175651876931474E-13</v>
      </c>
      <c r="ED126" s="22">
        <f t="shared" si="72"/>
        <v>2.7023629113603613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5.6843418860808015E-14</v>
      </c>
      <c r="EK126" s="17">
        <f>EJ126*VLOOKUP('Données projet'!$B$15,Paramètres!$A$1:$I$89,3,0)*VLOOKUP('Données projet'!$B$15,Paramètres!$A$1:$I$89,5,0)</f>
        <v>4.9658410716801891E-14</v>
      </c>
      <c r="EL126" s="13">
        <f t="shared" si="99"/>
        <v>8.0934058173791862E-13</v>
      </c>
      <c r="EM126" s="20">
        <f t="shared" si="73"/>
        <v>1.4960899118586383E-12</v>
      </c>
      <c r="EN126" s="59">
        <f t="shared" si="74"/>
        <v>293.33333333333479</v>
      </c>
      <c r="EO126" s="59">
        <f ca="1">AVERAGE(OFFSET($EN$3,0,0,'Données projet'!$E$15+1,1))-AVERAGE(OFFSET($H$3,0,0,'Données projet'!$E$15+1,1))</f>
        <v>255.2813753128475</v>
      </c>
      <c r="EP126" s="59">
        <f t="shared" si="100"/>
        <v>317.03005098025352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0.89425306091882661</v>
      </c>
      <c r="EW126" s="21">
        <f>EXP(-LN(2)/25)*EW125+(1-EXP(-LN(2)/25))/(LN(2)/25)*Calculateur!ER126*Calculateur!ET126*VLOOKUP('Données projet'!$B$15,Paramètres!$A$1:$I$89,3,0)*0.475*44/12</f>
        <v>1.3383035765193911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2.2325566374382175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1.7053025658242404E-13</v>
      </c>
      <c r="O127" s="13">
        <f>N127*VLOOKUP('Données projet'!$B$9,Paramètres!$A$1:$I$89,3,0)*VLOOKUP('Données projet'!$B$9,Paramètres!$A$1:$I$89,5,0)</f>
        <v>1.250327841262333E-13</v>
      </c>
      <c r="P127" s="13">
        <f t="shared" si="87"/>
        <v>1.8301318724634299E-12</v>
      </c>
      <c r="Q127" s="20">
        <f t="shared" si="107"/>
        <v>3.405245110226996E-12</v>
      </c>
      <c r="R127" s="59">
        <f t="shared" si="55"/>
        <v>293.33333333333672</v>
      </c>
      <c r="S127" s="59">
        <f ca="1">AVERAGE(OFFSET($R$3,0,0,'Données projet'!$E$9+1,1))-AVERAGE(OFFSET($H$3,0,0,'Données projet'!$E$9+1,1))</f>
        <v>193.60868637458515</v>
      </c>
      <c r="T127" s="59">
        <f t="shared" si="88"/>
        <v>272.97841038165217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-1.3567387213697657E-13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281.79835088425858</v>
      </c>
      <c r="AO127" s="59">
        <f t="shared" si="90"/>
        <v>345.4750813433123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343.6089004382095</v>
      </c>
      <c r="BJ127" s="59">
        <f t="shared" si="92"/>
        <v>278.21741231699929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4.4337866711430253E-14</v>
      </c>
      <c r="CA127" s="13">
        <f t="shared" si="93"/>
        <v>7.3222115536967035E-13</v>
      </c>
      <c r="CB127" s="20">
        <f t="shared" si="64"/>
        <v>1.3525069634579169E-12</v>
      </c>
      <c r="CC127" s="59">
        <f t="shared" si="65"/>
        <v>293.33333333333468</v>
      </c>
      <c r="CD127" s="59">
        <f ca="1">AVERAGE(OFFSET($CC$3,0,0,'Données projet'!$E$12+1,1))-AVERAGE(OFFSET($H$3,0,0,'Données projet'!$E$12+1,1))</f>
        <v>288.82868507674738</v>
      </c>
      <c r="CE127" s="59">
        <f t="shared" si="94"/>
        <v>283.48738729114024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0.2314436367195486</v>
      </c>
      <c r="CM127" s="21">
        <f>EXP(-LN(2)/2)*CM126+(1-EXP(-LN(2)/2))/(LN(2)/2)*CG127*CJ127*VLOOKUP('Données projet'!$B$12,Paramètres!$A$1:$I$89,3,0)*0.475*44/12</f>
        <v>2.3235510840412007E-14</v>
      </c>
      <c r="CN127" s="22">
        <f t="shared" si="66"/>
        <v>0.23144363671957183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-5.6843418860808015E-14</v>
      </c>
      <c r="CU127" s="17">
        <f>CT127*VLOOKUP('Données projet'!$B$13,Paramètres!$A$1:$I$89,3,0)*VLOOKUP('Données projet'!$B$13,Paramètres!$A$1:$I$89,5,0)</f>
        <v>-4.8771653382573282E-14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273.73158910361786</v>
      </c>
      <c r="CZ127" s="59">
        <f t="shared" si="96"/>
        <v>256.77417912163997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-3.4106051316484809E-13</v>
      </c>
      <c r="DP127" s="17">
        <f>DO127*VLOOKUP('Données projet'!$B$14,Paramètres!$A$1:$I$89,3,0)*VLOOKUP('Données projet'!$B$14,Paramètres!$A$1:$I$89,5,0)</f>
        <v>-1.9065282685915009E-13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534.78683721545372</v>
      </c>
      <c r="DU127" s="59">
        <f t="shared" si="98"/>
        <v>710.59298755711075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0.84942901648073366</v>
      </c>
      <c r="EB127" s="21">
        <f>EXP(-LN(2)/25)*EB126+(1-EXP(-LN(2)/25))/(LN(2)/25)*Calculateur!DW127*Calculateur!DY127*VLOOKUP('Données projet'!$B$14,Paramètres!$A$1:$I$89,3,0)*0.475*44/12</f>
        <v>1.7857399636694165</v>
      </c>
      <c r="EC127" s="21">
        <f>EXP(-LN(2)/2)*EC126+(1-EXP(-LN(2)/2))/(LN(2)/2)*DW127*DZ127*VLOOKUP('Données projet'!$B$14,Paramètres!$A$1:$I$89,3,0)*0.475*44/12</f>
        <v>8.313114144929377E-14</v>
      </c>
      <c r="ED127" s="22">
        <f t="shared" si="72"/>
        <v>2.6351689801502332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5.6843418860808015E-14</v>
      </c>
      <c r="EK127" s="17">
        <f>EJ127*VLOOKUP('Données projet'!$B$15,Paramètres!$A$1:$I$89,3,0)*VLOOKUP('Données projet'!$B$15,Paramètres!$A$1:$I$89,5,0)</f>
        <v>4.9658410716801891E-14</v>
      </c>
      <c r="EL127" s="13">
        <f t="shared" si="99"/>
        <v>8.0934058173791862E-13</v>
      </c>
      <c r="EM127" s="20">
        <f t="shared" si="73"/>
        <v>1.4960899118586383E-12</v>
      </c>
      <c r="EN127" s="59">
        <f t="shared" si="74"/>
        <v>293.33333333333479</v>
      </c>
      <c r="EO127" s="59">
        <f ca="1">AVERAGE(OFFSET($EN$3,0,0,'Données projet'!$E$15+1,1))-AVERAGE(OFFSET($H$3,0,0,'Données projet'!$E$15+1,1))</f>
        <v>255.2813753128475</v>
      </c>
      <c r="EP127" s="59">
        <f t="shared" si="100"/>
        <v>317.03005098025352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0.8767173038347178</v>
      </c>
      <c r="EW127" s="21">
        <f>EXP(-LN(2)/25)*EW126+(1-EXP(-LN(2)/25))/(LN(2)/25)*Calculateur!ER127*Calculateur!ET127*VLOOKUP('Données projet'!$B$15,Paramètres!$A$1:$I$89,3,0)*0.475*44/12</f>
        <v>1.3017075948411421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2.1784248986758596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1.7053025658242404E-13</v>
      </c>
      <c r="O128" s="13">
        <f>N128*VLOOKUP('Données projet'!$B$9,Paramètres!$A$1:$I$89,3,0)*VLOOKUP('Données projet'!$B$9,Paramètres!$A$1:$I$89,5,0)</f>
        <v>1.250327841262333E-13</v>
      </c>
      <c r="P128" s="13">
        <f t="shared" si="87"/>
        <v>1.8301318724634299E-12</v>
      </c>
      <c r="Q128" s="20">
        <f t="shared" si="107"/>
        <v>3.405245110226996E-12</v>
      </c>
      <c r="R128" s="59">
        <f t="shared" si="55"/>
        <v>293.33333333333672</v>
      </c>
      <c r="S128" s="59">
        <f ca="1">AVERAGE(OFFSET($R$3,0,0,'Données projet'!$E$9+1,1))-AVERAGE(OFFSET($H$3,0,0,'Données projet'!$E$9+1,1))</f>
        <v>193.60868637458515</v>
      </c>
      <c r="T128" s="59">
        <f t="shared" si="88"/>
        <v>272.97841038165217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-1.3567387213697657E-13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281.79835088425858</v>
      </c>
      <c r="AO128" s="59">
        <f t="shared" si="90"/>
        <v>345.4750813433123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343.6089004382095</v>
      </c>
      <c r="BJ128" s="59">
        <f t="shared" si="92"/>
        <v>278.21741231699929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4.4337866711430253E-14</v>
      </c>
      <c r="CA128" s="13">
        <f t="shared" si="93"/>
        <v>7.3222115536967035E-13</v>
      </c>
      <c r="CB128" s="20">
        <f t="shared" si="64"/>
        <v>1.3525069634579169E-12</v>
      </c>
      <c r="CC128" s="59">
        <f t="shared" si="65"/>
        <v>293.33333333333468</v>
      </c>
      <c r="CD128" s="59">
        <f ca="1">AVERAGE(OFFSET($CC$3,0,0,'Données projet'!$E$12+1,1))-AVERAGE(OFFSET($H$3,0,0,'Données projet'!$E$12+1,1))</f>
        <v>288.82868507674738</v>
      </c>
      <c r="CE128" s="59">
        <f t="shared" si="94"/>
        <v>283.48738729114024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0.22511479830236067</v>
      </c>
      <c r="CM128" s="21">
        <f>EXP(-LN(2)/2)*CM127+(1-EXP(-LN(2)/2))/(LN(2)/2)*CG128*CJ128*VLOOKUP('Données projet'!$B$12,Paramètres!$A$1:$I$89,3,0)*0.475*44/12</f>
        <v>1.6429987279588866E-14</v>
      </c>
      <c r="CN128" s="22">
        <f t="shared" si="66"/>
        <v>0.2251147983023771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-5.6843418860808015E-14</v>
      </c>
      <c r="CU128" s="17">
        <f>CT128*VLOOKUP('Données projet'!$B$13,Paramètres!$A$1:$I$89,3,0)*VLOOKUP('Données projet'!$B$13,Paramètres!$A$1:$I$89,5,0)</f>
        <v>-4.8771653382573282E-14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273.73158910361786</v>
      </c>
      <c r="CZ128" s="59">
        <f t="shared" si="96"/>
        <v>256.77417912163997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-3.4106051316484809E-13</v>
      </c>
      <c r="DP128" s="17">
        <f>DO128*VLOOKUP('Données projet'!$B$14,Paramètres!$A$1:$I$89,3,0)*VLOOKUP('Données projet'!$B$14,Paramètres!$A$1:$I$89,5,0)</f>
        <v>-1.9065282685915009E-13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534.78683721545372</v>
      </c>
      <c r="DU128" s="59">
        <f t="shared" si="98"/>
        <v>710.59298755711075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0.83277223156808833</v>
      </c>
      <c r="EB128" s="21">
        <f>EXP(-LN(2)/25)*EB127+(1-EXP(-LN(2)/25))/(LN(2)/25)*Calculateur!DW128*Calculateur!DY128*VLOOKUP('Données projet'!$B$14,Paramètres!$A$1:$I$89,3,0)*0.475*44/12</f>
        <v>1.7369088104548929</v>
      </c>
      <c r="EC128" s="21">
        <f>EXP(-LN(2)/2)*EC127+(1-EXP(-LN(2)/2))/(LN(2)/2)*DW128*DZ128*VLOOKUP('Données projet'!$B$14,Paramètres!$A$1:$I$89,3,0)*0.475*44/12</f>
        <v>5.8782593846573701E-14</v>
      </c>
      <c r="ED128" s="22">
        <f t="shared" si="72"/>
        <v>2.5696810420230398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5.6843418860808015E-14</v>
      </c>
      <c r="EK128" s="17">
        <f>EJ128*VLOOKUP('Données projet'!$B$15,Paramètres!$A$1:$I$89,3,0)*VLOOKUP('Données projet'!$B$15,Paramètres!$A$1:$I$89,5,0)</f>
        <v>4.9658410716801891E-14</v>
      </c>
      <c r="EL128" s="13">
        <f t="shared" si="99"/>
        <v>8.0934058173791862E-13</v>
      </c>
      <c r="EM128" s="20">
        <f t="shared" si="73"/>
        <v>1.4960899118586383E-12</v>
      </c>
      <c r="EN128" s="59">
        <f t="shared" si="74"/>
        <v>293.33333333333479</v>
      </c>
      <c r="EO128" s="59">
        <f ca="1">AVERAGE(OFFSET($EN$3,0,0,'Données projet'!$E$15+1,1))-AVERAGE(OFFSET($H$3,0,0,'Données projet'!$E$15+1,1))</f>
        <v>255.2813753128475</v>
      </c>
      <c r="EP128" s="59">
        <f t="shared" si="100"/>
        <v>317.03005098025352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0.85952541225127266</v>
      </c>
      <c r="EW128" s="21">
        <f>EXP(-LN(2)/25)*EW127+(1-EXP(-LN(2)/25))/(LN(2)/25)*Calculateur!ER128*Calculateur!ET128*VLOOKUP('Données projet'!$B$15,Paramètres!$A$1:$I$89,3,0)*0.475*44/12</f>
        <v>1.2661123322063836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2.1256377444576562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1.7053025658242404E-13</v>
      </c>
      <c r="O129" s="13">
        <f>N129*VLOOKUP('Données projet'!$B$9,Paramètres!$A$1:$I$89,3,0)*VLOOKUP('Données projet'!$B$9,Paramètres!$A$1:$I$89,5,0)</f>
        <v>1.250327841262333E-13</v>
      </c>
      <c r="P129" s="13">
        <f t="shared" si="87"/>
        <v>1.8301318724634299E-12</v>
      </c>
      <c r="Q129" s="20">
        <f t="shared" si="107"/>
        <v>3.405245110226996E-12</v>
      </c>
      <c r="R129" s="59">
        <f t="shared" si="55"/>
        <v>293.33333333333672</v>
      </c>
      <c r="S129" s="59">
        <f ca="1">AVERAGE(OFFSET($R$3,0,0,'Données projet'!$E$9+1,1))-AVERAGE(OFFSET($H$3,0,0,'Données projet'!$E$9+1,1))</f>
        <v>193.60868637458515</v>
      </c>
      <c r="T129" s="59">
        <f t="shared" si="88"/>
        <v>272.97841038165217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-1.3567387213697657E-13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281.79835088425858</v>
      </c>
      <c r="AO129" s="59">
        <f t="shared" si="90"/>
        <v>345.4750813433123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343.6089004382095</v>
      </c>
      <c r="BJ129" s="59">
        <f t="shared" si="92"/>
        <v>278.21741231699929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4.4337866711430253E-14</v>
      </c>
      <c r="CA129" s="13">
        <f t="shared" si="93"/>
        <v>7.3222115536967035E-13</v>
      </c>
      <c r="CB129" s="20">
        <f t="shared" si="64"/>
        <v>1.3525069634579169E-12</v>
      </c>
      <c r="CC129" s="59">
        <f t="shared" si="65"/>
        <v>293.33333333333468</v>
      </c>
      <c r="CD129" s="59">
        <f ca="1">AVERAGE(OFFSET($CC$3,0,0,'Données projet'!$E$12+1,1))-AVERAGE(OFFSET($H$3,0,0,'Données projet'!$E$12+1,1))</f>
        <v>288.82868507674738</v>
      </c>
      <c r="CE129" s="59">
        <f t="shared" si="94"/>
        <v>283.48738729114024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0.21895902230450989</v>
      </c>
      <c r="CM129" s="21">
        <f>EXP(-LN(2)/2)*CM128+(1-EXP(-LN(2)/2))/(LN(2)/2)*CG129*CJ129*VLOOKUP('Données projet'!$B$12,Paramètres!$A$1:$I$89,3,0)*0.475*44/12</f>
        <v>1.1617755420206004E-14</v>
      </c>
      <c r="CN129" s="22">
        <f t="shared" si="66"/>
        <v>0.21895902230452152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-5.6843418860808015E-14</v>
      </c>
      <c r="CU129" s="17">
        <f>CT129*VLOOKUP('Données projet'!$B$13,Paramètres!$A$1:$I$89,3,0)*VLOOKUP('Données projet'!$B$13,Paramètres!$A$1:$I$89,5,0)</f>
        <v>-4.8771653382573282E-14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273.73158910361786</v>
      </c>
      <c r="CZ129" s="59">
        <f t="shared" si="96"/>
        <v>256.77417912163997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-3.4106051316484809E-13</v>
      </c>
      <c r="DP129" s="17">
        <f>DO129*VLOOKUP('Données projet'!$B$14,Paramètres!$A$1:$I$89,3,0)*VLOOKUP('Données projet'!$B$14,Paramètres!$A$1:$I$89,5,0)</f>
        <v>-1.9065282685915009E-13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534.78683721545372</v>
      </c>
      <c r="DU129" s="59">
        <f t="shared" si="98"/>
        <v>710.59298755711075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0.81644207604794439</v>
      </c>
      <c r="EB129" s="21">
        <f>EXP(-LN(2)/25)*EB128+(1-EXP(-LN(2)/25))/(LN(2)/25)*Calculateur!DW129*Calculateur!DY129*VLOOKUP('Données projet'!$B$14,Paramètres!$A$1:$I$89,3,0)*0.475*44/12</f>
        <v>1.6894129476929391</v>
      </c>
      <c r="EC129" s="21">
        <f>EXP(-LN(2)/2)*EC128+(1-EXP(-LN(2)/2))/(LN(2)/2)*DW129*DZ129*VLOOKUP('Données projet'!$B$14,Paramètres!$A$1:$I$89,3,0)*0.475*44/12</f>
        <v>4.1565570724646885E-14</v>
      </c>
      <c r="ED129" s="22">
        <f t="shared" si="72"/>
        <v>2.5058550237409252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5.6843418860808015E-14</v>
      </c>
      <c r="EK129" s="17">
        <f>EJ129*VLOOKUP('Données projet'!$B$15,Paramètres!$A$1:$I$89,3,0)*VLOOKUP('Données projet'!$B$15,Paramètres!$A$1:$I$89,5,0)</f>
        <v>4.9658410716801891E-14</v>
      </c>
      <c r="EL129" s="13">
        <f t="shared" si="99"/>
        <v>8.0934058173791862E-13</v>
      </c>
      <c r="EM129" s="20">
        <f t="shared" si="73"/>
        <v>1.4960899118586383E-12</v>
      </c>
      <c r="EN129" s="59">
        <f t="shared" si="74"/>
        <v>293.33333333333479</v>
      </c>
      <c r="EO129" s="59">
        <f ca="1">AVERAGE(OFFSET($EN$3,0,0,'Données projet'!$E$15+1,1))-AVERAGE(OFFSET($H$3,0,0,'Données projet'!$E$15+1,1))</f>
        <v>255.2813753128475</v>
      </c>
      <c r="EP129" s="59">
        <f t="shared" si="100"/>
        <v>317.03005098025352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0.84267064317576046</v>
      </c>
      <c r="EW129" s="21">
        <f>EXP(-LN(2)/25)*EW128+(1-EXP(-LN(2)/25))/(LN(2)/25)*Calculateur!ER129*Calculateur!ET129*VLOOKUP('Données projet'!$B$15,Paramètres!$A$1:$I$89,3,0)*0.475*44/12</f>
        <v>1.2314904239002462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2.0741610670760067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1.7053025658242404E-13</v>
      </c>
      <c r="O130" s="13">
        <f>N130*VLOOKUP('Données projet'!$B$9,Paramètres!$A$1:$I$89,3,0)*VLOOKUP('Données projet'!$B$9,Paramètres!$A$1:$I$89,5,0)</f>
        <v>1.250327841262333E-13</v>
      </c>
      <c r="P130" s="13">
        <f t="shared" si="87"/>
        <v>1.8301318724634299E-12</v>
      </c>
      <c r="Q130" s="20">
        <f t="shared" si="107"/>
        <v>3.405245110226996E-12</v>
      </c>
      <c r="R130" s="59">
        <f t="shared" si="55"/>
        <v>293.33333333333672</v>
      </c>
      <c r="S130" s="59">
        <f ca="1">AVERAGE(OFFSET($R$3,0,0,'Données projet'!$E$9+1,1))-AVERAGE(OFFSET($H$3,0,0,'Données projet'!$E$9+1,1))</f>
        <v>193.60868637458515</v>
      </c>
      <c r="T130" s="59">
        <f t="shared" si="88"/>
        <v>272.97841038165217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-1.3567387213697657E-13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281.79835088425858</v>
      </c>
      <c r="AO130" s="59">
        <f t="shared" si="90"/>
        <v>345.4750813433123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343.6089004382095</v>
      </c>
      <c r="BJ130" s="59">
        <f t="shared" si="92"/>
        <v>278.21741231699929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4.4337866711430253E-14</v>
      </c>
      <c r="CA130" s="13">
        <f t="shared" si="93"/>
        <v>7.3222115536967035E-13</v>
      </c>
      <c r="CB130" s="20">
        <f t="shared" si="64"/>
        <v>1.3525069634579169E-12</v>
      </c>
      <c r="CC130" s="59">
        <f t="shared" si="65"/>
        <v>293.33333333333468</v>
      </c>
      <c r="CD130" s="59">
        <f ca="1">AVERAGE(OFFSET($CC$3,0,0,'Données projet'!$E$12+1,1))-AVERAGE(OFFSET($H$3,0,0,'Données projet'!$E$12+1,1))</f>
        <v>288.82868507674738</v>
      </c>
      <c r="CE130" s="59">
        <f t="shared" si="94"/>
        <v>283.48738729114024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0.21297157632503852</v>
      </c>
      <c r="CM130" s="21">
        <f>EXP(-LN(2)/2)*CM129+(1-EXP(-LN(2)/2))/(LN(2)/2)*CG130*CJ130*VLOOKUP('Données projet'!$B$12,Paramètres!$A$1:$I$89,3,0)*0.475*44/12</f>
        <v>8.214993639794433E-15</v>
      </c>
      <c r="CN130" s="22">
        <f t="shared" si="66"/>
        <v>0.21297157632504674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-5.6843418860808015E-14</v>
      </c>
      <c r="CU130" s="17">
        <f>CT130*VLOOKUP('Données projet'!$B$13,Paramètres!$A$1:$I$89,3,0)*VLOOKUP('Données projet'!$B$13,Paramètres!$A$1:$I$89,5,0)</f>
        <v>-4.8771653382573282E-14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273.73158910361786</v>
      </c>
      <c r="CZ130" s="59">
        <f t="shared" si="96"/>
        <v>256.77417912163997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-3.4106051316484809E-13</v>
      </c>
      <c r="DP130" s="17">
        <f>DO130*VLOOKUP('Données projet'!$B$14,Paramètres!$A$1:$I$89,3,0)*VLOOKUP('Données projet'!$B$14,Paramètres!$A$1:$I$89,5,0)</f>
        <v>-1.9065282685915009E-13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534.78683721545372</v>
      </c>
      <c r="DU130" s="59">
        <f t="shared" si="98"/>
        <v>710.59298755711075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0.8004321449171391</v>
      </c>
      <c r="EB130" s="21">
        <f>EXP(-LN(2)/25)*EB129+(1-EXP(-LN(2)/25))/(LN(2)/25)*Calculateur!DW130*Calculateur!DY130*VLOOKUP('Données projet'!$B$14,Paramètres!$A$1:$I$89,3,0)*0.475*44/12</f>
        <v>1.6432158617959101</v>
      </c>
      <c r="EC130" s="21">
        <f>EXP(-LN(2)/2)*EC129+(1-EXP(-LN(2)/2))/(LN(2)/2)*DW130*DZ130*VLOOKUP('Données projet'!$B$14,Paramètres!$A$1:$I$89,3,0)*0.475*44/12</f>
        <v>2.939129692328685E-14</v>
      </c>
      <c r="ED130" s="22">
        <f t="shared" si="72"/>
        <v>2.4436480067130786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5.6843418860808015E-14</v>
      </c>
      <c r="EK130" s="17">
        <f>EJ130*VLOOKUP('Données projet'!$B$15,Paramètres!$A$1:$I$89,3,0)*VLOOKUP('Données projet'!$B$15,Paramètres!$A$1:$I$89,5,0)</f>
        <v>4.9658410716801891E-14</v>
      </c>
      <c r="EL130" s="13">
        <f t="shared" si="99"/>
        <v>8.0934058173791862E-13</v>
      </c>
      <c r="EM130" s="20">
        <f t="shared" si="73"/>
        <v>1.4960899118586383E-12</v>
      </c>
      <c r="EN130" s="59">
        <f t="shared" si="74"/>
        <v>293.33333333333479</v>
      </c>
      <c r="EO130" s="59">
        <f ca="1">AVERAGE(OFFSET($EN$3,0,0,'Données projet'!$E$15+1,1))-AVERAGE(OFFSET($H$3,0,0,'Données projet'!$E$15+1,1))</f>
        <v>255.2813753128475</v>
      </c>
      <c r="EP130" s="59">
        <f t="shared" si="100"/>
        <v>317.03005098025352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0.82614638584142497</v>
      </c>
      <c r="EW130" s="21">
        <f>EXP(-LN(2)/25)*EW129+(1-EXP(-LN(2)/25))/(LN(2)/25)*Calculateur!ER130*Calculateur!ET130*VLOOKUP('Données projet'!$B$15,Paramètres!$A$1:$I$89,3,0)*0.475*44/12</f>
        <v>1.1978152534974271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2.023961639338852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1.7053025658242404E-13</v>
      </c>
      <c r="O131" s="13">
        <f>N131*VLOOKUP('Données projet'!$B$9,Paramètres!$A$1:$I$89,3,0)*VLOOKUP('Données projet'!$B$9,Paramètres!$A$1:$I$89,5,0)</f>
        <v>1.250327841262333E-13</v>
      </c>
      <c r="P131" s="13">
        <f t="shared" si="87"/>
        <v>1.8301318724634299E-12</v>
      </c>
      <c r="Q131" s="20">
        <f t="shared" ref="Q131:Q153" si="108">(O131+P131)*0.475*44/12</f>
        <v>3.405245110226996E-12</v>
      </c>
      <c r="R131" s="59">
        <f t="shared" ref="R131:R194" si="109">Q131+(I131+J131)*44/12</f>
        <v>293.33333333333672</v>
      </c>
      <c r="S131" s="59">
        <f ca="1">AVERAGE(OFFSET($R$3,0,0,'Données projet'!$E$9+1,1))-AVERAGE(OFFSET($H$3,0,0,'Données projet'!$E$9+1,1))</f>
        <v>193.60868637458515</v>
      </c>
      <c r="T131" s="59">
        <f t="shared" si="88"/>
        <v>272.97841038165217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-1.3567387213697657E-13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281.79835088425858</v>
      </c>
      <c r="AO131" s="59">
        <f t="shared" si="90"/>
        <v>345.4750813433123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343.6089004382095</v>
      </c>
      <c r="BJ131" s="59">
        <f t="shared" si="92"/>
        <v>278.21741231699929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4.4337866711430253E-14</v>
      </c>
      <c r="CA131" s="13">
        <f t="shared" si="93"/>
        <v>7.3222115536967035E-13</v>
      </c>
      <c r="CB131" s="20">
        <f t="shared" si="64"/>
        <v>1.3525069634579169E-12</v>
      </c>
      <c r="CC131" s="59">
        <f t="shared" si="65"/>
        <v>293.33333333333468</v>
      </c>
      <c r="CD131" s="59">
        <f ca="1">AVERAGE(OFFSET($CC$3,0,0,'Données projet'!$E$12+1,1))-AVERAGE(OFFSET($H$3,0,0,'Données projet'!$E$12+1,1))</f>
        <v>288.82868507674738</v>
      </c>
      <c r="CE131" s="59">
        <f t="shared" si="94"/>
        <v>283.48738729114024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0.2071478573707419</v>
      </c>
      <c r="CM131" s="21">
        <f>EXP(-LN(2)/2)*CM130+(1-EXP(-LN(2)/2))/(LN(2)/2)*CG131*CJ131*VLOOKUP('Données projet'!$B$12,Paramètres!$A$1:$I$89,3,0)*0.475*44/12</f>
        <v>5.8088777101030018E-15</v>
      </c>
      <c r="CN131" s="22">
        <f t="shared" si="66"/>
        <v>0.2071478573707477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-5.6843418860808015E-14</v>
      </c>
      <c r="CU131" s="17">
        <f>CT131*VLOOKUP('Données projet'!$B$13,Paramètres!$A$1:$I$89,3,0)*VLOOKUP('Données projet'!$B$13,Paramètres!$A$1:$I$89,5,0)</f>
        <v>-4.8771653382573282E-14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273.73158910361786</v>
      </c>
      <c r="CZ131" s="59">
        <f t="shared" si="96"/>
        <v>256.77417912163997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-3.4106051316484809E-13</v>
      </c>
      <c r="DP131" s="17">
        <f>DO131*VLOOKUP('Données projet'!$B$14,Paramètres!$A$1:$I$89,3,0)*VLOOKUP('Données projet'!$B$14,Paramètres!$A$1:$I$89,5,0)</f>
        <v>-1.9065282685915009E-13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534.78683721545372</v>
      </c>
      <c r="DU131" s="59">
        <f t="shared" si="98"/>
        <v>710.59298755711075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0.78473615877071512</v>
      </c>
      <c r="EB131" s="21">
        <f>EXP(-LN(2)/25)*EB130+(1-EXP(-LN(2)/25))/(LN(2)/25)*Calculateur!DW131*Calculateur!DY131*VLOOKUP('Données projet'!$B$14,Paramètres!$A$1:$I$89,3,0)*0.475*44/12</f>
        <v>1.5982820376421343</v>
      </c>
      <c r="EC131" s="21">
        <f>EXP(-LN(2)/2)*EC130+(1-EXP(-LN(2)/2))/(LN(2)/2)*DW131*DZ131*VLOOKUP('Données projet'!$B$14,Paramètres!$A$1:$I$89,3,0)*0.475*44/12</f>
        <v>2.0782785362323443E-14</v>
      </c>
      <c r="ED131" s="22">
        <f t="shared" si="72"/>
        <v>2.3830181964128703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5.6843418860808015E-14</v>
      </c>
      <c r="EK131" s="17">
        <f>EJ131*VLOOKUP('Données projet'!$B$15,Paramètres!$A$1:$I$89,3,0)*VLOOKUP('Données projet'!$B$15,Paramètres!$A$1:$I$89,5,0)</f>
        <v>4.9658410716801891E-14</v>
      </c>
      <c r="EL131" s="13">
        <f t="shared" si="99"/>
        <v>8.0934058173791862E-13</v>
      </c>
      <c r="EM131" s="20">
        <f t="shared" si="73"/>
        <v>1.4960899118586383E-12</v>
      </c>
      <c r="EN131" s="59">
        <f t="shared" si="74"/>
        <v>293.33333333333479</v>
      </c>
      <c r="EO131" s="59">
        <f ca="1">AVERAGE(OFFSET($EN$3,0,0,'Données projet'!$E$15+1,1))-AVERAGE(OFFSET($H$3,0,0,'Données projet'!$E$15+1,1))</f>
        <v>255.2813753128475</v>
      </c>
      <c r="EP131" s="59">
        <f t="shared" si="100"/>
        <v>317.03005098025352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0.80994615911461409</v>
      </c>
      <c r="EW131" s="21">
        <f>EXP(-LN(2)/25)*EW130+(1-EXP(-LN(2)/25))/(LN(2)/25)*Calculateur!ER131*Calculateur!ET131*VLOOKUP('Données projet'!$B$15,Paramètres!$A$1:$I$89,3,0)*0.475*44/12</f>
        <v>1.1650609324001735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1.9750070915147875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1.7053025658242404E-13</v>
      </c>
      <c r="O132" s="13">
        <f>N132*VLOOKUP('Données projet'!$B$9,Paramètres!$A$1:$I$89,3,0)*VLOOKUP('Données projet'!$B$9,Paramètres!$A$1:$I$89,5,0)</f>
        <v>1.250327841262333E-13</v>
      </c>
      <c r="P132" s="13">
        <f t="shared" si="87"/>
        <v>1.8301318724634299E-12</v>
      </c>
      <c r="Q132" s="20">
        <f t="shared" si="108"/>
        <v>3.405245110226996E-12</v>
      </c>
      <c r="R132" s="59">
        <f t="shared" si="109"/>
        <v>293.33333333333672</v>
      </c>
      <c r="S132" s="59">
        <f ca="1">AVERAGE(OFFSET($R$3,0,0,'Données projet'!$E$9+1,1))-AVERAGE(OFFSET($H$3,0,0,'Données projet'!$E$9+1,1))</f>
        <v>193.60868637458515</v>
      </c>
      <c r="T132" s="59">
        <f t="shared" si="88"/>
        <v>272.97841038165217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-1.3567387213697657E-13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281.79835088425858</v>
      </c>
      <c r="AO132" s="59">
        <f t="shared" si="90"/>
        <v>345.4750813433123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343.6089004382095</v>
      </c>
      <c r="BJ132" s="59">
        <f t="shared" si="92"/>
        <v>278.21741231699929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4.4337866711430253E-14</v>
      </c>
      <c r="CA132" s="13">
        <f t="shared" si="93"/>
        <v>7.3222115536967035E-13</v>
      </c>
      <c r="CB132" s="20">
        <f t="shared" ref="CB132:CB153" si="118">(BZ132+CA132)*0.475*44/12</f>
        <v>1.3525069634579169E-12</v>
      </c>
      <c r="CC132" s="59">
        <f t="shared" ref="CC132:CC195" si="119">CB132+(BT132+BU132)*44/12</f>
        <v>293.33333333333468</v>
      </c>
      <c r="CD132" s="59">
        <f ca="1">AVERAGE(OFFSET($CC$3,0,0,'Données projet'!$E$12+1,1))-AVERAGE(OFFSET($H$3,0,0,'Données projet'!$E$12+1,1))</f>
        <v>288.82868507674738</v>
      </c>
      <c r="CE132" s="59">
        <f t="shared" si="94"/>
        <v>283.48738729114024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0.20148338831750659</v>
      </c>
      <c r="CM132" s="21">
        <f>EXP(-LN(2)/2)*CM131+(1-EXP(-LN(2)/2))/(LN(2)/2)*CG132*CJ132*VLOOKUP('Données projet'!$B$12,Paramètres!$A$1:$I$89,3,0)*0.475*44/12</f>
        <v>4.1074968198972165E-15</v>
      </c>
      <c r="CN132" s="22">
        <f t="shared" ref="CN132:CN153" si="120">SUM(CK132:CM132)</f>
        <v>0.2014833883175107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-5.6843418860808015E-14</v>
      </c>
      <c r="CU132" s="17">
        <f>CT132*VLOOKUP('Données projet'!$B$13,Paramètres!$A$1:$I$89,3,0)*VLOOKUP('Données projet'!$B$13,Paramètres!$A$1:$I$89,5,0)</f>
        <v>-4.8771653382573282E-14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273.73158910361786</v>
      </c>
      <c r="CZ132" s="59">
        <f t="shared" si="96"/>
        <v>256.77417912163997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-3.4106051316484809E-13</v>
      </c>
      <c r="DP132" s="17">
        <f>DO132*VLOOKUP('Données projet'!$B$14,Paramètres!$A$1:$I$89,3,0)*VLOOKUP('Données projet'!$B$14,Paramètres!$A$1:$I$89,5,0)</f>
        <v>-1.9065282685915009E-13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534.78683721545372</v>
      </c>
      <c r="DU132" s="59">
        <f t="shared" si="98"/>
        <v>710.59298755711075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0.76934796133901628</v>
      </c>
      <c r="EB132" s="21">
        <f>EXP(-LN(2)/25)*EB131+(1-EXP(-LN(2)/25))/(LN(2)/25)*Calculateur!DW132*Calculateur!DY132*VLOOKUP('Données projet'!$B$14,Paramètres!$A$1:$I$89,3,0)*0.475*44/12</f>
        <v>1.5545769312728106</v>
      </c>
      <c r="EC132" s="21">
        <f>EXP(-LN(2)/2)*EC131+(1-EXP(-LN(2)/2))/(LN(2)/2)*DW132*DZ132*VLOOKUP('Données projet'!$B$14,Paramètres!$A$1:$I$89,3,0)*0.475*44/12</f>
        <v>1.4695648461643425E-14</v>
      </c>
      <c r="ED132" s="22">
        <f t="shared" ref="ED132:ED153" si="126">SUM(EA132:EC132)</f>
        <v>2.3239248926118417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5.6843418860808015E-14</v>
      </c>
      <c r="EK132" s="17">
        <f>EJ132*VLOOKUP('Données projet'!$B$15,Paramètres!$A$1:$I$89,3,0)*VLOOKUP('Données projet'!$B$15,Paramètres!$A$1:$I$89,5,0)</f>
        <v>4.9658410716801891E-14</v>
      </c>
      <c r="EL132" s="13">
        <f t="shared" si="99"/>
        <v>8.0934058173791862E-13</v>
      </c>
      <c r="EM132" s="20">
        <f t="shared" ref="EM132:EM153" si="127">(EK132+EL132)*0.475*44/12</f>
        <v>1.4960899118586383E-12</v>
      </c>
      <c r="EN132" s="59">
        <f t="shared" ref="EN132:EN195" si="128">EM132+(EE132+EF132)*44/12</f>
        <v>293.33333333333479</v>
      </c>
      <c r="EO132" s="59">
        <f ca="1">AVERAGE(OFFSET($EN$3,0,0,'Données projet'!$E$15+1,1))-AVERAGE(OFFSET($H$3,0,0,'Données projet'!$E$15+1,1))</f>
        <v>255.2813753128475</v>
      </c>
      <c r="EP132" s="59">
        <f t="shared" si="100"/>
        <v>317.03005098025352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0.7940636089527533</v>
      </c>
      <c r="EW132" s="21">
        <f>EXP(-LN(2)/25)*EW131+(1-EXP(-LN(2)/25))/(LN(2)/25)*Calculateur!ER132*Calculateur!ET132*VLOOKUP('Données projet'!$B$15,Paramètres!$A$1:$I$89,3,0)*0.475*44/12</f>
        <v>1.133202279935799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1.9272658888885523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1.7053025658242404E-13</v>
      </c>
      <c r="O133" s="13">
        <f>N133*VLOOKUP('Données projet'!$B$9,Paramètres!$A$1:$I$89,3,0)*VLOOKUP('Données projet'!$B$9,Paramètres!$A$1:$I$89,5,0)</f>
        <v>1.250327841262333E-13</v>
      </c>
      <c r="P133" s="13">
        <f t="shared" ref="P133:P196" si="141">EXP(-1.0587+0.8836*LN(O133)+0.284)</f>
        <v>1.8301318724634299E-12</v>
      </c>
      <c r="Q133" s="20">
        <f t="shared" si="108"/>
        <v>3.405245110226996E-12</v>
      </c>
      <c r="R133" s="59">
        <f t="shared" si="109"/>
        <v>293.33333333333672</v>
      </c>
      <c r="S133" s="59">
        <f ca="1">AVERAGE(OFFSET($R$3,0,0,'Données projet'!$E$9+1,1))-AVERAGE(OFFSET($H$3,0,0,'Données projet'!$E$9+1,1))</f>
        <v>193.60868637458515</v>
      </c>
      <c r="T133" s="59">
        <f t="shared" ref="T133:T196" si="142">$T$3</f>
        <v>272.97841038165217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-1.3567387213697657E-13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281.79835088425858</v>
      </c>
      <c r="AO133" s="59">
        <f t="shared" ref="AO133:AO196" si="144">$AO$3</f>
        <v>345.4750813433123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343.6089004382095</v>
      </c>
      <c r="BJ133" s="59">
        <f t="shared" ref="BJ133:BJ196" si="146">$BJ$3</f>
        <v>278.21741231699929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4.4337866711430253E-14</v>
      </c>
      <c r="CA133" s="13">
        <f t="shared" ref="CA133:CA153" si="147">EXP(-1.0587+0.8836*LN(BZ133)+0.284)</f>
        <v>7.3222115536967035E-13</v>
      </c>
      <c r="CB133" s="20">
        <f t="shared" si="118"/>
        <v>1.3525069634579169E-12</v>
      </c>
      <c r="CC133" s="59">
        <f t="shared" si="119"/>
        <v>293.33333333333468</v>
      </c>
      <c r="CD133" s="59">
        <f ca="1">AVERAGE(OFFSET($CC$3,0,0,'Données projet'!$E$12+1,1))-AVERAGE(OFFSET($H$3,0,0,'Données projet'!$E$12+1,1))</f>
        <v>288.82868507674738</v>
      </c>
      <c r="CE133" s="59">
        <f t="shared" ref="CE133:CE196" si="148">$CE$3</f>
        <v>283.48738729114024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0.19597381446841347</v>
      </c>
      <c r="CM133" s="21">
        <f>EXP(-LN(2)/2)*CM132+(1-EXP(-LN(2)/2))/(LN(2)/2)*CG133*CJ133*VLOOKUP('Données projet'!$B$12,Paramètres!$A$1:$I$89,3,0)*0.475*44/12</f>
        <v>2.9044388550515009E-15</v>
      </c>
      <c r="CN133" s="22">
        <f t="shared" si="120"/>
        <v>0.19597381446841639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-5.6843418860808015E-14</v>
      </c>
      <c r="CU133" s="17">
        <f>CT133*VLOOKUP('Données projet'!$B$13,Paramètres!$A$1:$I$89,3,0)*VLOOKUP('Données projet'!$B$13,Paramètres!$A$1:$I$89,5,0)</f>
        <v>-4.8771653382573282E-14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273.73158910361786</v>
      </c>
      <c r="CZ133" s="59">
        <f t="shared" ref="CZ133:CZ196" si="150">$CZ$3</f>
        <v>256.77417912163997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-3.4106051316484809E-13</v>
      </c>
      <c r="DP133" s="17">
        <f>DO133*VLOOKUP('Données projet'!$B$14,Paramètres!$A$1:$I$89,3,0)*VLOOKUP('Données projet'!$B$14,Paramètres!$A$1:$I$89,5,0)</f>
        <v>-1.9065282685915009E-13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534.78683721545372</v>
      </c>
      <c r="DU133" s="59">
        <f t="shared" ref="DU133:DU196" si="152">$DU$3</f>
        <v>710.59298755711075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0.75426151707307942</v>
      </c>
      <c r="EB133" s="21">
        <f>EXP(-LN(2)/25)*EB132+(1-EXP(-LN(2)/25))/(LN(2)/25)*Calculateur!DW133*Calculateur!DY133*VLOOKUP('Données projet'!$B$14,Paramètres!$A$1:$I$89,3,0)*0.475*44/12</f>
        <v>1.5120669433355078</v>
      </c>
      <c r="EC133" s="21">
        <f>EXP(-LN(2)/2)*EC132+(1-EXP(-LN(2)/2))/(LN(2)/2)*DW133*DZ133*VLOOKUP('Données projet'!$B$14,Paramètres!$A$1:$I$89,3,0)*0.475*44/12</f>
        <v>1.0391392681161721E-14</v>
      </c>
      <c r="ED133" s="22">
        <f t="shared" si="126"/>
        <v>2.2663284604085976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5.6843418860808015E-14</v>
      </c>
      <c r="EK133" s="17">
        <f>EJ133*VLOOKUP('Données projet'!$B$15,Paramètres!$A$1:$I$89,3,0)*VLOOKUP('Données projet'!$B$15,Paramètres!$A$1:$I$89,5,0)</f>
        <v>4.9658410716801891E-14</v>
      </c>
      <c r="EL133" s="13">
        <f t="shared" ref="EL133:EL153" si="153">EXP(-1.0587+0.8836*LN(EK133)+0.284)</f>
        <v>8.0934058173791862E-13</v>
      </c>
      <c r="EM133" s="20">
        <f t="shared" si="127"/>
        <v>1.4960899118586383E-12</v>
      </c>
      <c r="EN133" s="59">
        <f t="shared" si="128"/>
        <v>293.33333333333479</v>
      </c>
      <c r="EO133" s="59">
        <f ca="1">AVERAGE(OFFSET($EN$3,0,0,'Données projet'!$E$15+1,1))-AVERAGE(OFFSET($H$3,0,0,'Données projet'!$E$15+1,1))</f>
        <v>255.2813753128475</v>
      </c>
      <c r="EP133" s="59">
        <f t="shared" ref="EP133:EP196" si="154">$EP$3</f>
        <v>317.03005098025352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0.77849250591216757</v>
      </c>
      <c r="EW133" s="21">
        <f>EXP(-LN(2)/25)*EW132+(1-EXP(-LN(2)/25))/(LN(2)/25)*Calculateur!ER133*Calculateur!ET133*VLOOKUP('Données projet'!$B$15,Paramètres!$A$1:$I$89,3,0)*0.475*44/12</f>
        <v>1.1022148039984367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1.8807073099106044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1.7053025658242404E-13</v>
      </c>
      <c r="O134" s="13">
        <f>N134*VLOOKUP('Données projet'!$B$9,Paramètres!$A$1:$I$89,3,0)*VLOOKUP('Données projet'!$B$9,Paramètres!$A$1:$I$89,5,0)</f>
        <v>1.250327841262333E-13</v>
      </c>
      <c r="P134" s="13">
        <f t="shared" si="141"/>
        <v>1.8301318724634299E-12</v>
      </c>
      <c r="Q134" s="20">
        <f t="shared" si="108"/>
        <v>3.405245110226996E-12</v>
      </c>
      <c r="R134" s="59">
        <f t="shared" si="109"/>
        <v>293.33333333333672</v>
      </c>
      <c r="S134" s="59">
        <f ca="1">AVERAGE(OFFSET($R$3,0,0,'Données projet'!$E$9+1,1))-AVERAGE(OFFSET($H$3,0,0,'Données projet'!$E$9+1,1))</f>
        <v>193.60868637458515</v>
      </c>
      <c r="T134" s="59">
        <f t="shared" si="142"/>
        <v>272.97841038165217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-1.3567387213697657E-13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281.79835088425858</v>
      </c>
      <c r="AO134" s="59">
        <f t="shared" si="144"/>
        <v>345.4750813433123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343.6089004382095</v>
      </c>
      <c r="BJ134" s="59">
        <f t="shared" si="146"/>
        <v>278.21741231699929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4.4337866711430253E-14</v>
      </c>
      <c r="CA134" s="13">
        <f t="shared" si="147"/>
        <v>7.3222115536967035E-13</v>
      </c>
      <c r="CB134" s="20">
        <f t="shared" si="118"/>
        <v>1.3525069634579169E-12</v>
      </c>
      <c r="CC134" s="59">
        <f t="shared" si="119"/>
        <v>293.33333333333468</v>
      </c>
      <c r="CD134" s="59">
        <f ca="1">AVERAGE(OFFSET($CC$3,0,0,'Données projet'!$E$12+1,1))-AVERAGE(OFFSET($H$3,0,0,'Données projet'!$E$12+1,1))</f>
        <v>288.82868507674738</v>
      </c>
      <c r="CE134" s="59">
        <f t="shared" si="148"/>
        <v>283.48738729114024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0.1906149002059597</v>
      </c>
      <c r="CM134" s="21">
        <f>EXP(-LN(2)/2)*CM133+(1-EXP(-LN(2)/2))/(LN(2)/2)*CG134*CJ134*VLOOKUP('Données projet'!$B$12,Paramètres!$A$1:$I$89,3,0)*0.475*44/12</f>
        <v>2.0537484099486083E-15</v>
      </c>
      <c r="CN134" s="22">
        <f t="shared" si="120"/>
        <v>0.19061490020596175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-5.6843418860808015E-14</v>
      </c>
      <c r="CU134" s="17">
        <f>CT134*VLOOKUP('Données projet'!$B$13,Paramètres!$A$1:$I$89,3,0)*VLOOKUP('Données projet'!$B$13,Paramètres!$A$1:$I$89,5,0)</f>
        <v>-4.8771653382573282E-14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273.73158910361786</v>
      </c>
      <c r="CZ134" s="59">
        <f t="shared" si="150"/>
        <v>256.77417912163997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-3.4106051316484809E-13</v>
      </c>
      <c r="DP134" s="17">
        <f>DO134*VLOOKUP('Données projet'!$B$14,Paramètres!$A$1:$I$89,3,0)*VLOOKUP('Données projet'!$B$14,Paramètres!$A$1:$I$89,5,0)</f>
        <v>-1.9065282685915009E-13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534.78683721545372</v>
      </c>
      <c r="DU134" s="59">
        <f t="shared" si="152"/>
        <v>710.59298755711075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0.7394709087773752</v>
      </c>
      <c r="EB134" s="21">
        <f>EXP(-LN(2)/25)*EB133+(1-EXP(-LN(2)/25))/(LN(2)/25)*Calculateur!DW134*Calculateur!DY134*VLOOKUP('Données projet'!$B$14,Paramètres!$A$1:$I$89,3,0)*0.475*44/12</f>
        <v>1.4707193932538538</v>
      </c>
      <c r="EC134" s="21">
        <f>EXP(-LN(2)/2)*EC133+(1-EXP(-LN(2)/2))/(LN(2)/2)*DW134*DZ134*VLOOKUP('Données projet'!$B$14,Paramètres!$A$1:$I$89,3,0)*0.475*44/12</f>
        <v>7.3478242308217126E-15</v>
      </c>
      <c r="ED134" s="22">
        <f t="shared" si="126"/>
        <v>2.2101903020312368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5.6843418860808015E-14</v>
      </c>
      <c r="EK134" s="17">
        <f>EJ134*VLOOKUP('Données projet'!$B$15,Paramètres!$A$1:$I$89,3,0)*VLOOKUP('Données projet'!$B$15,Paramètres!$A$1:$I$89,5,0)</f>
        <v>4.9658410716801891E-14</v>
      </c>
      <c r="EL134" s="13">
        <f t="shared" si="153"/>
        <v>8.0934058173791862E-13</v>
      </c>
      <c r="EM134" s="20">
        <f t="shared" si="127"/>
        <v>1.4960899118586383E-12</v>
      </c>
      <c r="EN134" s="59">
        <f t="shared" si="128"/>
        <v>293.33333333333479</v>
      </c>
      <c r="EO134" s="59">
        <f ca="1">AVERAGE(OFFSET($EN$3,0,0,'Données projet'!$E$15+1,1))-AVERAGE(OFFSET($H$3,0,0,'Données projet'!$E$15+1,1))</f>
        <v>255.2813753128475</v>
      </c>
      <c r="EP134" s="59">
        <f t="shared" si="154"/>
        <v>317.03005098025352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0.76322674270477264</v>
      </c>
      <c r="EW134" s="21">
        <f>EXP(-LN(2)/25)*EW133+(1-EXP(-LN(2)/25))/(LN(2)/25)*Calculateur!ER134*Calculateur!ET134*VLOOKUP('Données projet'!$B$15,Paramètres!$A$1:$I$89,3,0)*0.475*44/12</f>
        <v>1.0720746822201421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1.8353014249249147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1.7053025658242404E-13</v>
      </c>
      <c r="O135" s="13">
        <f>N135*VLOOKUP('Données projet'!$B$9,Paramètres!$A$1:$I$89,3,0)*VLOOKUP('Données projet'!$B$9,Paramètres!$A$1:$I$89,5,0)</f>
        <v>1.250327841262333E-13</v>
      </c>
      <c r="P135" s="13">
        <f t="shared" si="141"/>
        <v>1.8301318724634299E-12</v>
      </c>
      <c r="Q135" s="20">
        <f t="shared" si="108"/>
        <v>3.405245110226996E-12</v>
      </c>
      <c r="R135" s="59">
        <f t="shared" si="109"/>
        <v>293.33333333333672</v>
      </c>
      <c r="S135" s="59">
        <f ca="1">AVERAGE(OFFSET($R$3,0,0,'Données projet'!$E$9+1,1))-AVERAGE(OFFSET($H$3,0,0,'Données projet'!$E$9+1,1))</f>
        <v>193.60868637458515</v>
      </c>
      <c r="T135" s="59">
        <f t="shared" si="142"/>
        <v>272.97841038165217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-1.3567387213697657E-13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281.79835088425858</v>
      </c>
      <c r="AO135" s="59">
        <f t="shared" si="144"/>
        <v>345.4750813433123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343.6089004382095</v>
      </c>
      <c r="BJ135" s="59">
        <f t="shared" si="146"/>
        <v>278.21741231699929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4.4337866711430253E-14</v>
      </c>
      <c r="CA135" s="13">
        <f t="shared" si="147"/>
        <v>7.3222115536967035E-13</v>
      </c>
      <c r="CB135" s="20">
        <f t="shared" si="118"/>
        <v>1.3525069634579169E-12</v>
      </c>
      <c r="CC135" s="59">
        <f t="shared" si="119"/>
        <v>293.33333333333468</v>
      </c>
      <c r="CD135" s="59">
        <f ca="1">AVERAGE(OFFSET($CC$3,0,0,'Données projet'!$E$12+1,1))-AVERAGE(OFFSET($H$3,0,0,'Données projet'!$E$12+1,1))</f>
        <v>288.82868507674738</v>
      </c>
      <c r="CE135" s="59">
        <f t="shared" si="148"/>
        <v>283.48738729114024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0.18540252573582577</v>
      </c>
      <c r="CM135" s="21">
        <f>EXP(-LN(2)/2)*CM134+(1-EXP(-LN(2)/2))/(LN(2)/2)*CG135*CJ135*VLOOKUP('Données projet'!$B$12,Paramètres!$A$1:$I$89,3,0)*0.475*44/12</f>
        <v>1.4522194275257505E-15</v>
      </c>
      <c r="CN135" s="22">
        <f t="shared" si="120"/>
        <v>0.18540252573582722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-5.6843418860808015E-14</v>
      </c>
      <c r="CU135" s="17">
        <f>CT135*VLOOKUP('Données projet'!$B$13,Paramètres!$A$1:$I$89,3,0)*VLOOKUP('Données projet'!$B$13,Paramètres!$A$1:$I$89,5,0)</f>
        <v>-4.8771653382573282E-14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273.73158910361786</v>
      </c>
      <c r="CZ135" s="59">
        <f t="shared" si="150"/>
        <v>256.77417912163997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-3.4106051316484809E-13</v>
      </c>
      <c r="DP135" s="17">
        <f>DO135*VLOOKUP('Données projet'!$B$14,Paramètres!$A$1:$I$89,3,0)*VLOOKUP('Données projet'!$B$14,Paramètres!$A$1:$I$89,5,0)</f>
        <v>-1.9065282685915009E-13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534.78683721545372</v>
      </c>
      <c r="DU135" s="59">
        <f t="shared" si="152"/>
        <v>710.59298755711075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0.72497033528896948</v>
      </c>
      <c r="EB135" s="21">
        <f>EXP(-LN(2)/25)*EB134+(1-EXP(-LN(2)/25))/(LN(2)/25)*Calculateur!DW135*Calculateur!DY135*VLOOKUP('Données projet'!$B$14,Paramètres!$A$1:$I$89,3,0)*0.475*44/12</f>
        <v>1.4305024941035556</v>
      </c>
      <c r="EC135" s="21">
        <f>EXP(-LN(2)/2)*EC134+(1-EXP(-LN(2)/2))/(LN(2)/2)*DW135*DZ135*VLOOKUP('Données projet'!$B$14,Paramètres!$A$1:$I$89,3,0)*0.475*44/12</f>
        <v>5.1956963405808606E-15</v>
      </c>
      <c r="ED135" s="22">
        <f t="shared" si="126"/>
        <v>2.1554728293925303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5.6843418860808015E-14</v>
      </c>
      <c r="EK135" s="17">
        <f>EJ135*VLOOKUP('Données projet'!$B$15,Paramètres!$A$1:$I$89,3,0)*VLOOKUP('Données projet'!$B$15,Paramètres!$A$1:$I$89,5,0)</f>
        <v>4.9658410716801891E-14</v>
      </c>
      <c r="EL135" s="13">
        <f t="shared" si="153"/>
        <v>8.0934058173791862E-13</v>
      </c>
      <c r="EM135" s="20">
        <f t="shared" si="127"/>
        <v>1.4960899118586383E-12</v>
      </c>
      <c r="EN135" s="59">
        <f t="shared" si="128"/>
        <v>293.33333333333479</v>
      </c>
      <c r="EO135" s="59">
        <f ca="1">AVERAGE(OFFSET($EN$3,0,0,'Données projet'!$E$15+1,1))-AVERAGE(OFFSET($H$3,0,0,'Données projet'!$E$15+1,1))</f>
        <v>255.2813753128475</v>
      </c>
      <c r="EP135" s="59">
        <f t="shared" si="154"/>
        <v>317.03005098025352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0.74826033180267859</v>
      </c>
      <c r="EW135" s="21">
        <f>EXP(-LN(2)/25)*EW134+(1-EXP(-LN(2)/25))/(LN(2)/25)*Calculateur!ER135*Calculateur!ET135*VLOOKUP('Données projet'!$B$15,Paramètres!$A$1:$I$89,3,0)*0.475*44/12</f>
        <v>1.042758743656875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1.7910190754595536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1.7053025658242404E-13</v>
      </c>
      <c r="O136" s="13">
        <f>N136*VLOOKUP('Données projet'!$B$9,Paramètres!$A$1:$I$89,3,0)*VLOOKUP('Données projet'!$B$9,Paramètres!$A$1:$I$89,5,0)</f>
        <v>1.250327841262333E-13</v>
      </c>
      <c r="P136" s="13">
        <f t="shared" si="141"/>
        <v>1.8301318724634299E-12</v>
      </c>
      <c r="Q136" s="20">
        <f t="shared" si="108"/>
        <v>3.405245110226996E-12</v>
      </c>
      <c r="R136" s="59">
        <f t="shared" si="109"/>
        <v>293.33333333333672</v>
      </c>
      <c r="S136" s="59">
        <f ca="1">AVERAGE(OFFSET($R$3,0,0,'Données projet'!$E$9+1,1))-AVERAGE(OFFSET($H$3,0,0,'Données projet'!$E$9+1,1))</f>
        <v>193.60868637458515</v>
      </c>
      <c r="T136" s="59">
        <f t="shared" si="142"/>
        <v>272.97841038165217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-1.3567387213697657E-13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281.79835088425858</v>
      </c>
      <c r="AO136" s="59">
        <f t="shared" si="144"/>
        <v>345.4750813433123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343.6089004382095</v>
      </c>
      <c r="BJ136" s="59">
        <f t="shared" si="146"/>
        <v>278.21741231699929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4.4337866711430253E-14</v>
      </c>
      <c r="CA136" s="13">
        <f t="shared" si="147"/>
        <v>7.3222115536967035E-13</v>
      </c>
      <c r="CB136" s="20">
        <f t="shared" si="118"/>
        <v>1.3525069634579169E-12</v>
      </c>
      <c r="CC136" s="59">
        <f t="shared" si="119"/>
        <v>293.33333333333468</v>
      </c>
      <c r="CD136" s="59">
        <f ca="1">AVERAGE(OFFSET($CC$3,0,0,'Données projet'!$E$12+1,1))-AVERAGE(OFFSET($H$3,0,0,'Données projet'!$E$12+1,1))</f>
        <v>288.82868507674738</v>
      </c>
      <c r="CE136" s="59">
        <f t="shared" si="148"/>
        <v>283.48738729114024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0.18033268391968454</v>
      </c>
      <c r="CM136" s="21">
        <f>EXP(-LN(2)/2)*CM135+(1-EXP(-LN(2)/2))/(LN(2)/2)*CG136*CJ136*VLOOKUP('Données projet'!$B$12,Paramètres!$A$1:$I$89,3,0)*0.475*44/12</f>
        <v>1.0268742049743041E-15</v>
      </c>
      <c r="CN136" s="22">
        <f t="shared" si="120"/>
        <v>0.18033268391968557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-5.6843418860808015E-14</v>
      </c>
      <c r="CU136" s="17">
        <f>CT136*VLOOKUP('Données projet'!$B$13,Paramètres!$A$1:$I$89,3,0)*VLOOKUP('Données projet'!$B$13,Paramètres!$A$1:$I$89,5,0)</f>
        <v>-4.8771653382573282E-14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273.73158910361786</v>
      </c>
      <c r="CZ136" s="59">
        <f t="shared" si="150"/>
        <v>256.77417912163997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-3.4106051316484809E-13</v>
      </c>
      <c r="DP136" s="17">
        <f>DO136*VLOOKUP('Données projet'!$B$14,Paramètres!$A$1:$I$89,3,0)*VLOOKUP('Données projet'!$B$14,Paramètres!$A$1:$I$89,5,0)</f>
        <v>-1.9065282685915009E-13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534.78683721545372</v>
      </c>
      <c r="DU136" s="59">
        <f t="shared" si="152"/>
        <v>710.59298755711075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0.71075410920219484</v>
      </c>
      <c r="EB136" s="21">
        <f>EXP(-LN(2)/25)*EB135+(1-EXP(-LN(2)/25))/(LN(2)/25)*Calculateur!DW136*Calculateur!DY136*VLOOKUP('Données projet'!$B$14,Paramètres!$A$1:$I$89,3,0)*0.475*44/12</f>
        <v>1.3913853281754371</v>
      </c>
      <c r="EC136" s="21">
        <f>EXP(-LN(2)/2)*EC135+(1-EXP(-LN(2)/2))/(LN(2)/2)*DW136*DZ136*VLOOKUP('Données projet'!$B$14,Paramètres!$A$1:$I$89,3,0)*0.475*44/12</f>
        <v>3.6739121154108563E-15</v>
      </c>
      <c r="ED136" s="22">
        <f t="shared" si="126"/>
        <v>2.1021394373776356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5.6843418860808015E-14</v>
      </c>
      <c r="EK136" s="17">
        <f>EJ136*VLOOKUP('Données projet'!$B$15,Paramètres!$A$1:$I$89,3,0)*VLOOKUP('Données projet'!$B$15,Paramètres!$A$1:$I$89,5,0)</f>
        <v>4.9658410716801891E-14</v>
      </c>
      <c r="EL136" s="13">
        <f t="shared" si="153"/>
        <v>8.0934058173791862E-13</v>
      </c>
      <c r="EM136" s="20">
        <f t="shared" si="127"/>
        <v>1.4960899118586383E-12</v>
      </c>
      <c r="EN136" s="59">
        <f t="shared" si="128"/>
        <v>293.33333333333479</v>
      </c>
      <c r="EO136" s="59">
        <f ca="1">AVERAGE(OFFSET($EN$3,0,0,'Données projet'!$E$15+1,1))-AVERAGE(OFFSET($H$3,0,0,'Données projet'!$E$15+1,1))</f>
        <v>255.2813753128475</v>
      </c>
      <c r="EP136" s="59">
        <f t="shared" si="154"/>
        <v>317.03005098025352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0.73358740308976533</v>
      </c>
      <c r="EW136" s="21">
        <f>EXP(-LN(2)/25)*EW135+(1-EXP(-LN(2)/25))/(LN(2)/25)*Calculateur!ER136*Calculateur!ET136*VLOOKUP('Données projet'!$B$15,Paramètres!$A$1:$I$89,3,0)*0.475*44/12</f>
        <v>1.0142444509752788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1.7478318540650442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1.7053025658242404E-13</v>
      </c>
      <c r="O137" s="13">
        <f>N137*VLOOKUP('Données projet'!$B$9,Paramètres!$A$1:$I$89,3,0)*VLOOKUP('Données projet'!$B$9,Paramètres!$A$1:$I$89,5,0)</f>
        <v>1.250327841262333E-13</v>
      </c>
      <c r="P137" s="13">
        <f t="shared" si="141"/>
        <v>1.8301318724634299E-12</v>
      </c>
      <c r="Q137" s="20">
        <f t="shared" si="108"/>
        <v>3.405245110226996E-12</v>
      </c>
      <c r="R137" s="59">
        <f t="shared" si="109"/>
        <v>293.33333333333672</v>
      </c>
      <c r="S137" s="59">
        <f ca="1">AVERAGE(OFFSET($R$3,0,0,'Données projet'!$E$9+1,1))-AVERAGE(OFFSET($H$3,0,0,'Données projet'!$E$9+1,1))</f>
        <v>193.60868637458515</v>
      </c>
      <c r="T137" s="59">
        <f t="shared" si="142"/>
        <v>272.97841038165217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-1.3567387213697657E-13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281.79835088425858</v>
      </c>
      <c r="AO137" s="59">
        <f t="shared" si="144"/>
        <v>345.4750813433123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343.6089004382095</v>
      </c>
      <c r="BJ137" s="59">
        <f t="shared" si="146"/>
        <v>278.21741231699929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4.4337866711430253E-14</v>
      </c>
      <c r="CA137" s="13">
        <f t="shared" si="147"/>
        <v>7.3222115536967035E-13</v>
      </c>
      <c r="CB137" s="20">
        <f t="shared" si="118"/>
        <v>1.3525069634579169E-12</v>
      </c>
      <c r="CC137" s="59">
        <f t="shared" si="119"/>
        <v>293.33333333333468</v>
      </c>
      <c r="CD137" s="59">
        <f ca="1">AVERAGE(OFFSET($CC$3,0,0,'Données projet'!$E$12+1,1))-AVERAGE(OFFSET($H$3,0,0,'Données projet'!$E$12+1,1))</f>
        <v>288.82868507674738</v>
      </c>
      <c r="CE137" s="59">
        <f t="shared" si="148"/>
        <v>283.48738729114024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0.17540147719461707</v>
      </c>
      <c r="CM137" s="21">
        <f>EXP(-LN(2)/2)*CM136+(1-EXP(-LN(2)/2))/(LN(2)/2)*CG137*CJ137*VLOOKUP('Données projet'!$B$12,Paramètres!$A$1:$I$89,3,0)*0.475*44/12</f>
        <v>7.2610971376287523E-16</v>
      </c>
      <c r="CN137" s="22">
        <f t="shared" si="120"/>
        <v>0.17540147719461779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-5.6843418860808015E-14</v>
      </c>
      <c r="CU137" s="17">
        <f>CT137*VLOOKUP('Données projet'!$B$13,Paramètres!$A$1:$I$89,3,0)*VLOOKUP('Données projet'!$B$13,Paramètres!$A$1:$I$89,5,0)</f>
        <v>-4.8771653382573282E-14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273.73158910361786</v>
      </c>
      <c r="CZ137" s="59">
        <f t="shared" si="150"/>
        <v>256.77417912163997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-3.4106051316484809E-13</v>
      </c>
      <c r="DP137" s="17">
        <f>DO137*VLOOKUP('Données projet'!$B$14,Paramètres!$A$1:$I$89,3,0)*VLOOKUP('Données projet'!$B$14,Paramètres!$A$1:$I$89,5,0)</f>
        <v>-1.9065282685915009E-13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534.78683721545372</v>
      </c>
      <c r="DU137" s="59">
        <f t="shared" si="152"/>
        <v>710.59298755711075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0.69681665463794018</v>
      </c>
      <c r="EB137" s="21">
        <f>EXP(-LN(2)/25)*EB136+(1-EXP(-LN(2)/25))/(LN(2)/25)*Calculateur!DW137*Calculateur!DY137*VLOOKUP('Données projet'!$B$14,Paramètres!$A$1:$I$89,3,0)*0.475*44/12</f>
        <v>1.3533378232067055</v>
      </c>
      <c r="EC137" s="21">
        <f>EXP(-LN(2)/2)*EC136+(1-EXP(-LN(2)/2))/(LN(2)/2)*DW137*DZ137*VLOOKUP('Données projet'!$B$14,Paramètres!$A$1:$I$89,3,0)*0.475*44/12</f>
        <v>2.5978481702904303E-15</v>
      </c>
      <c r="ED137" s="22">
        <f t="shared" si="126"/>
        <v>2.0501544778446483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5.6843418860808015E-14</v>
      </c>
      <c r="EK137" s="17">
        <f>EJ137*VLOOKUP('Données projet'!$B$15,Paramètres!$A$1:$I$89,3,0)*VLOOKUP('Données projet'!$B$15,Paramètres!$A$1:$I$89,5,0)</f>
        <v>4.9658410716801891E-14</v>
      </c>
      <c r="EL137" s="13">
        <f t="shared" si="153"/>
        <v>8.0934058173791862E-13</v>
      </c>
      <c r="EM137" s="20">
        <f t="shared" si="127"/>
        <v>1.4960899118586383E-12</v>
      </c>
      <c r="EN137" s="59">
        <f t="shared" si="128"/>
        <v>293.33333333333479</v>
      </c>
      <c r="EO137" s="59">
        <f ca="1">AVERAGE(OFFSET($EN$3,0,0,'Données projet'!$E$15+1,1))-AVERAGE(OFFSET($H$3,0,0,'Données projet'!$E$15+1,1))</f>
        <v>255.2813753128475</v>
      </c>
      <c r="EP137" s="59">
        <f t="shared" si="154"/>
        <v>317.03005098025352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0.71920220155930947</v>
      </c>
      <c r="EW137" s="21">
        <f>EXP(-LN(2)/25)*EW136+(1-EXP(-LN(2)/25))/(LN(2)/25)*Calculateur!ER137*Calculateur!ET137*VLOOKUP('Données projet'!$B$15,Paramètres!$A$1:$I$89,3,0)*0.475*44/12</f>
        <v>0.98650988312656218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1.7057120846858718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1.7053025658242404E-13</v>
      </c>
      <c r="O138" s="13">
        <f>N138*VLOOKUP('Données projet'!$B$9,Paramètres!$A$1:$I$89,3,0)*VLOOKUP('Données projet'!$B$9,Paramètres!$A$1:$I$89,5,0)</f>
        <v>1.250327841262333E-13</v>
      </c>
      <c r="P138" s="13">
        <f t="shared" si="141"/>
        <v>1.8301318724634299E-12</v>
      </c>
      <c r="Q138" s="20">
        <f t="shared" si="108"/>
        <v>3.405245110226996E-12</v>
      </c>
      <c r="R138" s="59">
        <f t="shared" si="109"/>
        <v>293.33333333333672</v>
      </c>
      <c r="S138" s="59">
        <f ca="1">AVERAGE(OFFSET($R$3,0,0,'Données projet'!$E$9+1,1))-AVERAGE(OFFSET($H$3,0,0,'Données projet'!$E$9+1,1))</f>
        <v>193.60868637458515</v>
      </c>
      <c r="T138" s="59">
        <f t="shared" si="142"/>
        <v>272.97841038165217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-1.3567387213697657E-13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281.79835088425858</v>
      </c>
      <c r="AO138" s="59">
        <f t="shared" si="144"/>
        <v>345.4750813433123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343.6089004382095</v>
      </c>
      <c r="BJ138" s="59">
        <f t="shared" si="146"/>
        <v>278.21741231699929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4.4337866711430253E-14</v>
      </c>
      <c r="CA138" s="13">
        <f t="shared" si="147"/>
        <v>7.3222115536967035E-13</v>
      </c>
      <c r="CB138" s="20">
        <f t="shared" si="118"/>
        <v>1.3525069634579169E-12</v>
      </c>
      <c r="CC138" s="59">
        <f t="shared" si="119"/>
        <v>293.33333333333468</v>
      </c>
      <c r="CD138" s="59">
        <f ca="1">AVERAGE(OFFSET($CC$3,0,0,'Données projet'!$E$12+1,1))-AVERAGE(OFFSET($H$3,0,0,'Données projet'!$E$12+1,1))</f>
        <v>288.82868507674738</v>
      </c>
      <c r="CE138" s="59">
        <f t="shared" si="148"/>
        <v>283.48738729114024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0.17060511457676747</v>
      </c>
      <c r="CM138" s="21">
        <f>EXP(-LN(2)/2)*CM137+(1-EXP(-LN(2)/2))/(LN(2)/2)*CG138*CJ138*VLOOKUP('Données projet'!$B$12,Paramètres!$A$1:$I$89,3,0)*0.475*44/12</f>
        <v>5.1343710248715206E-16</v>
      </c>
      <c r="CN138" s="22">
        <f t="shared" si="120"/>
        <v>0.17060511457676797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-5.6843418860808015E-14</v>
      </c>
      <c r="CU138" s="17">
        <f>CT138*VLOOKUP('Données projet'!$B$13,Paramètres!$A$1:$I$89,3,0)*VLOOKUP('Données projet'!$B$13,Paramètres!$A$1:$I$89,5,0)</f>
        <v>-4.8771653382573282E-14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273.73158910361786</v>
      </c>
      <c r="CZ138" s="59">
        <f t="shared" si="150"/>
        <v>256.77417912163997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-3.4106051316484809E-13</v>
      </c>
      <c r="DP138" s="17">
        <f>DO138*VLOOKUP('Données projet'!$B$14,Paramètres!$A$1:$I$89,3,0)*VLOOKUP('Données projet'!$B$14,Paramètres!$A$1:$I$89,5,0)</f>
        <v>-1.9065282685915009E-13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534.78683721545372</v>
      </c>
      <c r="DU138" s="59">
        <f t="shared" si="152"/>
        <v>710.59298755711075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0.68315250505668268</v>
      </c>
      <c r="EB138" s="21">
        <f>EXP(-LN(2)/25)*EB137+(1-EXP(-LN(2)/25))/(LN(2)/25)*Calculateur!DW138*Calculateur!DY138*VLOOKUP('Données projet'!$B$14,Paramètres!$A$1:$I$89,3,0)*0.475*44/12</f>
        <v>1.3163307292621751</v>
      </c>
      <c r="EC138" s="21">
        <f>EXP(-LN(2)/2)*EC137+(1-EXP(-LN(2)/2))/(LN(2)/2)*DW138*DZ138*VLOOKUP('Données projet'!$B$14,Paramètres!$A$1:$I$89,3,0)*0.475*44/12</f>
        <v>1.8369560577054282E-15</v>
      </c>
      <c r="ED138" s="22">
        <f t="shared" si="126"/>
        <v>1.9994832343188595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5.6843418860808015E-14</v>
      </c>
      <c r="EK138" s="17">
        <f>EJ138*VLOOKUP('Données projet'!$B$15,Paramètres!$A$1:$I$89,3,0)*VLOOKUP('Données projet'!$B$15,Paramètres!$A$1:$I$89,5,0)</f>
        <v>4.9658410716801891E-14</v>
      </c>
      <c r="EL138" s="13">
        <f t="shared" si="153"/>
        <v>8.0934058173791862E-13</v>
      </c>
      <c r="EM138" s="20">
        <f t="shared" si="127"/>
        <v>1.4960899118586383E-12</v>
      </c>
      <c r="EN138" s="59">
        <f t="shared" si="128"/>
        <v>293.33333333333479</v>
      </c>
      <c r="EO138" s="59">
        <f ca="1">AVERAGE(OFFSET($EN$3,0,0,'Données projet'!$E$15+1,1))-AVERAGE(OFFSET($H$3,0,0,'Données projet'!$E$15+1,1))</f>
        <v>255.2813753128475</v>
      </c>
      <c r="EP138" s="59">
        <f t="shared" si="154"/>
        <v>317.03005098025352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0.70509908505675933</v>
      </c>
      <c r="EW138" s="21">
        <f>EXP(-LN(2)/25)*EW137+(1-EXP(-LN(2)/25))/(LN(2)/25)*Calculateur!ER138*Calculateur!ET138*VLOOKUP('Données projet'!$B$15,Paramètres!$A$1:$I$89,3,0)*0.475*44/12</f>
        <v>0.95953371849416624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1.6646328035509255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1.7053025658242404E-13</v>
      </c>
      <c r="O139" s="13">
        <f>N139*VLOOKUP('Données projet'!$B$9,Paramètres!$A$1:$I$89,3,0)*VLOOKUP('Données projet'!$B$9,Paramètres!$A$1:$I$89,5,0)</f>
        <v>1.250327841262333E-13</v>
      </c>
      <c r="P139" s="13">
        <f t="shared" si="141"/>
        <v>1.8301318724634299E-12</v>
      </c>
      <c r="Q139" s="20">
        <f t="shared" si="108"/>
        <v>3.405245110226996E-12</v>
      </c>
      <c r="R139" s="59">
        <f t="shared" si="109"/>
        <v>293.33333333333672</v>
      </c>
      <c r="S139" s="59">
        <f ca="1">AVERAGE(OFFSET($R$3,0,0,'Données projet'!$E$9+1,1))-AVERAGE(OFFSET($H$3,0,0,'Données projet'!$E$9+1,1))</f>
        <v>193.60868637458515</v>
      </c>
      <c r="T139" s="59">
        <f t="shared" si="142"/>
        <v>272.97841038165217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-1.3567387213697657E-13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281.79835088425858</v>
      </c>
      <c r="AO139" s="59">
        <f t="shared" si="144"/>
        <v>345.4750813433123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343.6089004382095</v>
      </c>
      <c r="BJ139" s="59">
        <f t="shared" si="146"/>
        <v>278.21741231699929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4.4337866711430253E-14</v>
      </c>
      <c r="CA139" s="13">
        <f t="shared" si="147"/>
        <v>7.3222115536967035E-13</v>
      </c>
      <c r="CB139" s="20">
        <f t="shared" si="118"/>
        <v>1.3525069634579169E-12</v>
      </c>
      <c r="CC139" s="59">
        <f t="shared" si="119"/>
        <v>293.33333333333468</v>
      </c>
      <c r="CD139" s="59">
        <f ca="1">AVERAGE(OFFSET($CC$3,0,0,'Données projet'!$E$12+1,1))-AVERAGE(OFFSET($H$3,0,0,'Données projet'!$E$12+1,1))</f>
        <v>288.82868507674738</v>
      </c>
      <c r="CE139" s="59">
        <f t="shared" si="148"/>
        <v>283.48738729114024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0.16593990874693271</v>
      </c>
      <c r="CM139" s="21">
        <f>EXP(-LN(2)/2)*CM138+(1-EXP(-LN(2)/2))/(LN(2)/2)*CG139*CJ139*VLOOKUP('Données projet'!$B$12,Paramètres!$A$1:$I$89,3,0)*0.475*44/12</f>
        <v>3.6305485688143761E-16</v>
      </c>
      <c r="CN139" s="22">
        <f t="shared" si="120"/>
        <v>0.16593990874693307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-5.6843418860808015E-14</v>
      </c>
      <c r="CU139" s="17">
        <f>CT139*VLOOKUP('Données projet'!$B$13,Paramètres!$A$1:$I$89,3,0)*VLOOKUP('Données projet'!$B$13,Paramètres!$A$1:$I$89,5,0)</f>
        <v>-4.8771653382573282E-14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273.73158910361786</v>
      </c>
      <c r="CZ139" s="59">
        <f t="shared" si="150"/>
        <v>256.77417912163997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-3.4106051316484809E-13</v>
      </c>
      <c r="DP139" s="17">
        <f>DO139*VLOOKUP('Données projet'!$B$14,Paramètres!$A$1:$I$89,3,0)*VLOOKUP('Données projet'!$B$14,Paramètres!$A$1:$I$89,5,0)</f>
        <v>-1.9065282685915009E-13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534.78683721545372</v>
      </c>
      <c r="DU139" s="59">
        <f t="shared" si="152"/>
        <v>710.59298755711075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0.66975630111440532</v>
      </c>
      <c r="EB139" s="21">
        <f>EXP(-LN(2)/25)*EB138+(1-EXP(-LN(2)/25))/(LN(2)/25)*Calculateur!DW139*Calculateur!DY139*VLOOKUP('Données projet'!$B$14,Paramètres!$A$1:$I$89,3,0)*0.475*44/12</f>
        <v>1.2803355962476763</v>
      </c>
      <c r="EC139" s="21">
        <f>EXP(-LN(2)/2)*EC138+(1-EXP(-LN(2)/2))/(LN(2)/2)*DW139*DZ139*VLOOKUP('Données projet'!$B$14,Paramètres!$A$1:$I$89,3,0)*0.475*44/12</f>
        <v>1.2989240851452152E-15</v>
      </c>
      <c r="ED139" s="22">
        <f t="shared" si="126"/>
        <v>1.9500918973620829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5.6843418860808015E-14</v>
      </c>
      <c r="EK139" s="17">
        <f>EJ139*VLOOKUP('Données projet'!$B$15,Paramètres!$A$1:$I$89,3,0)*VLOOKUP('Données projet'!$B$15,Paramètres!$A$1:$I$89,5,0)</f>
        <v>4.9658410716801891E-14</v>
      </c>
      <c r="EL139" s="13">
        <f t="shared" si="153"/>
        <v>8.0934058173791862E-13</v>
      </c>
      <c r="EM139" s="20">
        <f t="shared" si="127"/>
        <v>1.4960899118586383E-12</v>
      </c>
      <c r="EN139" s="59">
        <f t="shared" si="128"/>
        <v>293.33333333333479</v>
      </c>
      <c r="EO139" s="59">
        <f ca="1">AVERAGE(OFFSET($EN$3,0,0,'Données projet'!$E$15+1,1))-AVERAGE(OFFSET($H$3,0,0,'Données projet'!$E$15+1,1))</f>
        <v>255.2813753128475</v>
      </c>
      <c r="EP139" s="59">
        <f t="shared" si="154"/>
        <v>317.03005098025352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0.69127252206677248</v>
      </c>
      <c r="EW139" s="21">
        <f>EXP(-LN(2)/25)*EW138+(1-EXP(-LN(2)/25))/(LN(2)/25)*Calculateur!ER139*Calculateur!ET139*VLOOKUP('Données projet'!$B$15,Paramètres!$A$1:$I$89,3,0)*0.475*44/12</f>
        <v>0.93329521850225805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1.6245677405690304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1.7053025658242404E-13</v>
      </c>
      <c r="O140" s="13">
        <f>N140*VLOOKUP('Données projet'!$B$9,Paramètres!$A$1:$I$89,3,0)*VLOOKUP('Données projet'!$B$9,Paramètres!$A$1:$I$89,5,0)</f>
        <v>1.250327841262333E-13</v>
      </c>
      <c r="P140" s="13">
        <f t="shared" si="141"/>
        <v>1.8301318724634299E-12</v>
      </c>
      <c r="Q140" s="20">
        <f t="shared" si="108"/>
        <v>3.405245110226996E-12</v>
      </c>
      <c r="R140" s="59">
        <f t="shared" si="109"/>
        <v>293.33333333333672</v>
      </c>
      <c r="S140" s="59">
        <f ca="1">AVERAGE(OFFSET($R$3,0,0,'Données projet'!$E$9+1,1))-AVERAGE(OFFSET($H$3,0,0,'Données projet'!$E$9+1,1))</f>
        <v>193.60868637458515</v>
      </c>
      <c r="T140" s="59">
        <f t="shared" si="142"/>
        <v>272.97841038165217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-1.3567387213697657E-13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281.79835088425858</v>
      </c>
      <c r="AO140" s="59">
        <f t="shared" si="144"/>
        <v>345.4750813433123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343.6089004382095</v>
      </c>
      <c r="BJ140" s="59">
        <f t="shared" si="146"/>
        <v>278.21741231699929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4.4337866711430253E-14</v>
      </c>
      <c r="CA140" s="13">
        <f t="shared" si="147"/>
        <v>7.3222115536967035E-13</v>
      </c>
      <c r="CB140" s="20">
        <f t="shared" si="118"/>
        <v>1.3525069634579169E-12</v>
      </c>
      <c r="CC140" s="59">
        <f t="shared" si="119"/>
        <v>293.33333333333468</v>
      </c>
      <c r="CD140" s="59">
        <f ca="1">AVERAGE(OFFSET($CC$3,0,0,'Données projet'!$E$12+1,1))-AVERAGE(OFFSET($H$3,0,0,'Données projet'!$E$12+1,1))</f>
        <v>288.82868507674738</v>
      </c>
      <c r="CE140" s="59">
        <f t="shared" si="148"/>
        <v>283.48738729114024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0.1614022732158473</v>
      </c>
      <c r="CM140" s="21">
        <f>EXP(-LN(2)/2)*CM139+(1-EXP(-LN(2)/2))/(LN(2)/2)*CG140*CJ140*VLOOKUP('Données projet'!$B$12,Paramètres!$A$1:$I$89,3,0)*0.475*44/12</f>
        <v>2.5671855124357603E-16</v>
      </c>
      <c r="CN140" s="22">
        <f t="shared" si="120"/>
        <v>0.16140227321584755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-5.6843418860808015E-14</v>
      </c>
      <c r="CU140" s="17">
        <f>CT140*VLOOKUP('Données projet'!$B$13,Paramètres!$A$1:$I$89,3,0)*VLOOKUP('Données projet'!$B$13,Paramètres!$A$1:$I$89,5,0)</f>
        <v>-4.8771653382573282E-14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273.73158910361786</v>
      </c>
      <c r="CZ140" s="59">
        <f t="shared" si="150"/>
        <v>256.77417912163997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-3.4106051316484809E-13</v>
      </c>
      <c r="DP140" s="17">
        <f>DO140*VLOOKUP('Données projet'!$B$14,Paramètres!$A$1:$I$89,3,0)*VLOOKUP('Données projet'!$B$14,Paramètres!$A$1:$I$89,5,0)</f>
        <v>-1.9065282685915009E-13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534.78683721545372</v>
      </c>
      <c r="DU140" s="59">
        <f t="shared" si="152"/>
        <v>710.59298755711075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0.65662278856055845</v>
      </c>
      <c r="EB140" s="21">
        <f>EXP(-LN(2)/25)*EB139+(1-EXP(-LN(2)/25))/(LN(2)/25)*Calculateur!DW140*Calculateur!DY140*VLOOKUP('Données projet'!$B$14,Paramètres!$A$1:$I$89,3,0)*0.475*44/12</f>
        <v>1.2453247520383608</v>
      </c>
      <c r="EC140" s="21">
        <f>EXP(-LN(2)/2)*EC139+(1-EXP(-LN(2)/2))/(LN(2)/2)*DW140*DZ140*VLOOKUP('Données projet'!$B$14,Paramètres!$A$1:$I$89,3,0)*0.475*44/12</f>
        <v>9.1847802885271408E-16</v>
      </c>
      <c r="ED140" s="22">
        <f t="shared" si="126"/>
        <v>1.9019475405989201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5.6843418860808015E-14</v>
      </c>
      <c r="EK140" s="17">
        <f>EJ140*VLOOKUP('Données projet'!$B$15,Paramètres!$A$1:$I$89,3,0)*VLOOKUP('Données projet'!$B$15,Paramètres!$A$1:$I$89,5,0)</f>
        <v>4.9658410716801891E-14</v>
      </c>
      <c r="EL140" s="13">
        <f t="shared" si="153"/>
        <v>8.0934058173791862E-13</v>
      </c>
      <c r="EM140" s="20">
        <f t="shared" si="127"/>
        <v>1.4960899118586383E-12</v>
      </c>
      <c r="EN140" s="59">
        <f t="shared" si="128"/>
        <v>293.33333333333479</v>
      </c>
      <c r="EO140" s="59">
        <f ca="1">AVERAGE(OFFSET($EN$3,0,0,'Données projet'!$E$15+1,1))-AVERAGE(OFFSET($H$3,0,0,'Données projet'!$E$15+1,1))</f>
        <v>255.2813753128475</v>
      </c>
      <c r="EP140" s="59">
        <f t="shared" si="154"/>
        <v>317.03005098025352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0.67771708954364862</v>
      </c>
      <c r="EW140" s="21">
        <f>EXP(-LN(2)/25)*EW139+(1-EXP(-LN(2)/25))/(LN(2)/25)*Calculateur!ER140*Calculateur!ET140*VLOOKUP('Données projet'!$B$15,Paramètres!$A$1:$I$89,3,0)*0.475*44/12</f>
        <v>0.90777421167245131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1.5854913012160998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1.7053025658242404E-13</v>
      </c>
      <c r="O141" s="13">
        <f>N141*VLOOKUP('Données projet'!$B$9,Paramètres!$A$1:$I$89,3,0)*VLOOKUP('Données projet'!$B$9,Paramètres!$A$1:$I$89,5,0)</f>
        <v>1.250327841262333E-13</v>
      </c>
      <c r="P141" s="13">
        <f t="shared" si="141"/>
        <v>1.8301318724634299E-12</v>
      </c>
      <c r="Q141" s="20">
        <f t="shared" si="108"/>
        <v>3.405245110226996E-12</v>
      </c>
      <c r="R141" s="59">
        <f t="shared" si="109"/>
        <v>293.33333333333672</v>
      </c>
      <c r="S141" s="59">
        <f ca="1">AVERAGE(OFFSET($R$3,0,0,'Données projet'!$E$9+1,1))-AVERAGE(OFFSET($H$3,0,0,'Données projet'!$E$9+1,1))</f>
        <v>193.60868637458515</v>
      </c>
      <c r="T141" s="59">
        <f t="shared" si="142"/>
        <v>272.97841038165217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-1.3567387213697657E-13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281.79835088425858</v>
      </c>
      <c r="AO141" s="59">
        <f t="shared" si="144"/>
        <v>345.4750813433123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343.6089004382095</v>
      </c>
      <c r="BJ141" s="59">
        <f t="shared" si="146"/>
        <v>278.21741231699929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4.4337866711430253E-14</v>
      </c>
      <c r="CA141" s="13">
        <f t="shared" si="147"/>
        <v>7.3222115536967035E-13</v>
      </c>
      <c r="CB141" s="20">
        <f t="shared" si="118"/>
        <v>1.3525069634579169E-12</v>
      </c>
      <c r="CC141" s="59">
        <f t="shared" si="119"/>
        <v>293.33333333333468</v>
      </c>
      <c r="CD141" s="59">
        <f ca="1">AVERAGE(OFFSET($CC$3,0,0,'Données projet'!$E$12+1,1))-AVERAGE(OFFSET($H$3,0,0,'Données projet'!$E$12+1,1))</f>
        <v>288.82868507674738</v>
      </c>
      <c r="CE141" s="59">
        <f t="shared" si="148"/>
        <v>283.48738729114024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0.15698871956698329</v>
      </c>
      <c r="CM141" s="21">
        <f>EXP(-LN(2)/2)*CM140+(1-EXP(-LN(2)/2))/(LN(2)/2)*CG141*CJ141*VLOOKUP('Données projet'!$B$12,Paramètres!$A$1:$I$89,3,0)*0.475*44/12</f>
        <v>1.8152742844071881E-16</v>
      </c>
      <c r="CN141" s="22">
        <f t="shared" si="120"/>
        <v>0.15698871956698349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-5.6843418860808015E-14</v>
      </c>
      <c r="CU141" s="17">
        <f>CT141*VLOOKUP('Données projet'!$B$13,Paramètres!$A$1:$I$89,3,0)*VLOOKUP('Données projet'!$B$13,Paramètres!$A$1:$I$89,5,0)</f>
        <v>-4.8771653382573282E-14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273.73158910361786</v>
      </c>
      <c r="CZ141" s="59">
        <f t="shared" si="150"/>
        <v>256.77417912163997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-3.4106051316484809E-13</v>
      </c>
      <c r="DP141" s="17">
        <f>DO141*VLOOKUP('Données projet'!$B$14,Paramètres!$A$1:$I$89,3,0)*VLOOKUP('Données projet'!$B$14,Paramètres!$A$1:$I$89,5,0)</f>
        <v>-1.9065282685915009E-13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534.78683721545372</v>
      </c>
      <c r="DU141" s="59">
        <f t="shared" si="152"/>
        <v>710.59298755711075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0.64374681617724083</v>
      </c>
      <c r="EB141" s="21">
        <f>EXP(-LN(2)/25)*EB140+(1-EXP(-LN(2)/25))/(LN(2)/25)*Calculateur!DW141*Calculateur!DY141*VLOOKUP('Données projet'!$B$14,Paramètres!$A$1:$I$89,3,0)*0.475*44/12</f>
        <v>1.2112712812050894</v>
      </c>
      <c r="EC141" s="21">
        <f>EXP(-LN(2)/2)*EC140+(1-EXP(-LN(2)/2))/(LN(2)/2)*DW141*DZ141*VLOOKUP('Données projet'!$B$14,Paramètres!$A$1:$I$89,3,0)*0.475*44/12</f>
        <v>6.4946204257260758E-16</v>
      </c>
      <c r="ED141" s="22">
        <f t="shared" si="126"/>
        <v>1.8550180973823309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5.6843418860808015E-14</v>
      </c>
      <c r="EK141" s="17">
        <f>EJ141*VLOOKUP('Données projet'!$B$15,Paramètres!$A$1:$I$89,3,0)*VLOOKUP('Données projet'!$B$15,Paramètres!$A$1:$I$89,5,0)</f>
        <v>4.9658410716801891E-14</v>
      </c>
      <c r="EL141" s="13">
        <f t="shared" si="153"/>
        <v>8.0934058173791862E-13</v>
      </c>
      <c r="EM141" s="20">
        <f t="shared" si="127"/>
        <v>1.4960899118586383E-12</v>
      </c>
      <c r="EN141" s="59">
        <f t="shared" si="128"/>
        <v>293.33333333333479</v>
      </c>
      <c r="EO141" s="59">
        <f ca="1">AVERAGE(OFFSET($EN$3,0,0,'Données projet'!$E$15+1,1))-AVERAGE(OFFSET($H$3,0,0,'Données projet'!$E$15+1,1))</f>
        <v>255.2813753128475</v>
      </c>
      <c r="EP141" s="59">
        <f t="shared" si="154"/>
        <v>317.03005098025352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0.66442747078430575</v>
      </c>
      <c r="EW141" s="21">
        <f>EXP(-LN(2)/25)*EW140+(1-EXP(-LN(2)/25))/(LN(2)/25)*Calculateur!ER141*Calculateur!ET141*VLOOKUP('Données projet'!$B$15,Paramètres!$A$1:$I$89,3,0)*0.475*44/12</f>
        <v>0.88295107811649709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1.5473785489008027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1.7053025658242404E-13</v>
      </c>
      <c r="O142" s="13">
        <f>N142*VLOOKUP('Données projet'!$B$9,Paramètres!$A$1:$I$89,3,0)*VLOOKUP('Données projet'!$B$9,Paramètres!$A$1:$I$89,5,0)</f>
        <v>1.250327841262333E-13</v>
      </c>
      <c r="P142" s="13">
        <f t="shared" si="141"/>
        <v>1.8301318724634299E-12</v>
      </c>
      <c r="Q142" s="20">
        <f t="shared" si="108"/>
        <v>3.405245110226996E-12</v>
      </c>
      <c r="R142" s="59">
        <f t="shared" si="109"/>
        <v>293.33333333333672</v>
      </c>
      <c r="S142" s="59">
        <f ca="1">AVERAGE(OFFSET($R$3,0,0,'Données projet'!$E$9+1,1))-AVERAGE(OFFSET($H$3,0,0,'Données projet'!$E$9+1,1))</f>
        <v>193.60868637458515</v>
      </c>
      <c r="T142" s="59">
        <f t="shared" si="142"/>
        <v>272.97841038165217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-1.3567387213697657E-13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281.79835088425858</v>
      </c>
      <c r="AO142" s="59">
        <f t="shared" si="144"/>
        <v>345.4750813433123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343.6089004382095</v>
      </c>
      <c r="BJ142" s="59">
        <f t="shared" si="146"/>
        <v>278.21741231699929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4.4337866711430253E-14</v>
      </c>
      <c r="CA142" s="13">
        <f t="shared" si="147"/>
        <v>7.3222115536967035E-13</v>
      </c>
      <c r="CB142" s="20">
        <f t="shared" si="118"/>
        <v>1.3525069634579169E-12</v>
      </c>
      <c r="CC142" s="59">
        <f t="shared" si="119"/>
        <v>293.33333333333468</v>
      </c>
      <c r="CD142" s="59">
        <f ca="1">AVERAGE(OFFSET($CC$3,0,0,'Données projet'!$E$12+1,1))-AVERAGE(OFFSET($H$3,0,0,'Données projet'!$E$12+1,1))</f>
        <v>288.82868507674738</v>
      </c>
      <c r="CE142" s="59">
        <f t="shared" si="148"/>
        <v>283.48738729114024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0.15269585477474618</v>
      </c>
      <c r="CM142" s="21">
        <f>EXP(-LN(2)/2)*CM141+(1-EXP(-LN(2)/2))/(LN(2)/2)*CG142*CJ142*VLOOKUP('Données projet'!$B$12,Paramètres!$A$1:$I$89,3,0)*0.475*44/12</f>
        <v>1.2835927562178802E-16</v>
      </c>
      <c r="CN142" s="22">
        <f t="shared" si="120"/>
        <v>0.15269585477474631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-5.6843418860808015E-14</v>
      </c>
      <c r="CU142" s="17">
        <f>CT142*VLOOKUP('Données projet'!$B$13,Paramètres!$A$1:$I$89,3,0)*VLOOKUP('Données projet'!$B$13,Paramètres!$A$1:$I$89,5,0)</f>
        <v>-4.8771653382573282E-14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273.73158910361786</v>
      </c>
      <c r="CZ142" s="59">
        <f t="shared" si="150"/>
        <v>256.77417912163997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-3.4106051316484809E-13</v>
      </c>
      <c r="DP142" s="17">
        <f>DO142*VLOOKUP('Données projet'!$B$14,Paramètres!$A$1:$I$89,3,0)*VLOOKUP('Données projet'!$B$14,Paramètres!$A$1:$I$89,5,0)</f>
        <v>-1.9065282685915009E-13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534.78683721545372</v>
      </c>
      <c r="DU142" s="59">
        <f t="shared" si="152"/>
        <v>710.59298755711075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0.63112333375879237</v>
      </c>
      <c r="EB142" s="21">
        <f>EXP(-LN(2)/25)*EB141+(1-EXP(-LN(2)/25))/(LN(2)/25)*Calculateur!DW142*Calculateur!DY142*VLOOKUP('Données projet'!$B$14,Paramètres!$A$1:$I$89,3,0)*0.475*44/12</f>
        <v>1.178149004322548</v>
      </c>
      <c r="EC142" s="21">
        <f>EXP(-LN(2)/2)*EC141+(1-EXP(-LN(2)/2))/(LN(2)/2)*DW142*DZ142*VLOOKUP('Données projet'!$B$14,Paramètres!$A$1:$I$89,3,0)*0.475*44/12</f>
        <v>4.5923901442635704E-16</v>
      </c>
      <c r="ED142" s="22">
        <f t="shared" si="126"/>
        <v>1.8092723380813407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5.6843418860808015E-14</v>
      </c>
      <c r="EK142" s="17">
        <f>EJ142*VLOOKUP('Données projet'!$B$15,Paramètres!$A$1:$I$89,3,0)*VLOOKUP('Données projet'!$B$15,Paramètres!$A$1:$I$89,5,0)</f>
        <v>4.9658410716801891E-14</v>
      </c>
      <c r="EL142" s="13">
        <f t="shared" si="153"/>
        <v>8.0934058173791862E-13</v>
      </c>
      <c r="EM142" s="20">
        <f t="shared" si="127"/>
        <v>1.4960899118586383E-12</v>
      </c>
      <c r="EN142" s="59">
        <f t="shared" si="128"/>
        <v>293.33333333333479</v>
      </c>
      <c r="EO142" s="59">
        <f ca="1">AVERAGE(OFFSET($EN$3,0,0,'Données projet'!$E$15+1,1))-AVERAGE(OFFSET($H$3,0,0,'Données projet'!$E$15+1,1))</f>
        <v>255.2813753128475</v>
      </c>
      <c r="EP142" s="59">
        <f t="shared" si="154"/>
        <v>317.03005098025352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0.65139845334296653</v>
      </c>
      <c r="EW142" s="21">
        <f>EXP(-LN(2)/25)*EW141+(1-EXP(-LN(2)/25))/(LN(2)/25)*Calculateur!ER142*Calculateur!ET142*VLOOKUP('Données projet'!$B$15,Paramètres!$A$1:$I$89,3,0)*0.475*44/12</f>
        <v>0.85880673445302225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1.5102051877959888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1.7053025658242404E-13</v>
      </c>
      <c r="O143" s="13">
        <f>N143*VLOOKUP('Données projet'!$B$9,Paramètres!$A$1:$I$89,3,0)*VLOOKUP('Données projet'!$B$9,Paramètres!$A$1:$I$89,5,0)</f>
        <v>1.250327841262333E-13</v>
      </c>
      <c r="P143" s="13">
        <f t="shared" si="141"/>
        <v>1.8301318724634299E-12</v>
      </c>
      <c r="Q143" s="20">
        <f t="shared" si="108"/>
        <v>3.405245110226996E-12</v>
      </c>
      <c r="R143" s="59">
        <f t="shared" si="109"/>
        <v>293.33333333333672</v>
      </c>
      <c r="S143" s="59">
        <f ca="1">AVERAGE(OFFSET($R$3,0,0,'Données projet'!$E$9+1,1))-AVERAGE(OFFSET($H$3,0,0,'Données projet'!$E$9+1,1))</f>
        <v>193.60868637458515</v>
      </c>
      <c r="T143" s="59">
        <f t="shared" si="142"/>
        <v>272.97841038165217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-1.3567387213697657E-13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281.79835088425858</v>
      </c>
      <c r="AO143" s="59">
        <f t="shared" si="144"/>
        <v>345.4750813433123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343.6089004382095</v>
      </c>
      <c r="BJ143" s="59">
        <f t="shared" si="146"/>
        <v>278.21741231699929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4.4337866711430253E-14</v>
      </c>
      <c r="CA143" s="13">
        <f t="shared" si="147"/>
        <v>7.3222115536967035E-13</v>
      </c>
      <c r="CB143" s="20">
        <f t="shared" si="118"/>
        <v>1.3525069634579169E-12</v>
      </c>
      <c r="CC143" s="59">
        <f t="shared" si="119"/>
        <v>293.33333333333468</v>
      </c>
      <c r="CD143" s="59">
        <f ca="1">AVERAGE(OFFSET($CC$3,0,0,'Données projet'!$E$12+1,1))-AVERAGE(OFFSET($H$3,0,0,'Données projet'!$E$12+1,1))</f>
        <v>288.82868507674738</v>
      </c>
      <c r="CE143" s="59">
        <f t="shared" si="148"/>
        <v>283.48738729114024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0.14852037859600473</v>
      </c>
      <c r="CM143" s="21">
        <f>EXP(-LN(2)/2)*CM142+(1-EXP(-LN(2)/2))/(LN(2)/2)*CG143*CJ143*VLOOKUP('Données projet'!$B$12,Paramètres!$A$1:$I$89,3,0)*0.475*44/12</f>
        <v>9.0763714220359403E-17</v>
      </c>
      <c r="CN143" s="22">
        <f t="shared" si="120"/>
        <v>0.14852037859600481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-5.6843418860808015E-14</v>
      </c>
      <c r="CU143" s="17">
        <f>CT143*VLOOKUP('Données projet'!$B$13,Paramètres!$A$1:$I$89,3,0)*VLOOKUP('Données projet'!$B$13,Paramètres!$A$1:$I$89,5,0)</f>
        <v>-4.8771653382573282E-14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273.73158910361786</v>
      </c>
      <c r="CZ143" s="59">
        <f t="shared" si="150"/>
        <v>256.77417912163997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-3.4106051316484809E-13</v>
      </c>
      <c r="DP143" s="17">
        <f>DO143*VLOOKUP('Données projet'!$B$14,Paramètres!$A$1:$I$89,3,0)*VLOOKUP('Données projet'!$B$14,Paramètres!$A$1:$I$89,5,0)</f>
        <v>-1.9065282685915009E-13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534.78683721545372</v>
      </c>
      <c r="DU143" s="59">
        <f t="shared" si="152"/>
        <v>710.59298755711075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0.61874739013100566</v>
      </c>
      <c r="EB143" s="21">
        <f>EXP(-LN(2)/25)*EB142+(1-EXP(-LN(2)/25))/(LN(2)/25)*Calculateur!DW143*Calculateur!DY143*VLOOKUP('Données projet'!$B$14,Paramètres!$A$1:$I$89,3,0)*0.475*44/12</f>
        <v>1.1459324578431844</v>
      </c>
      <c r="EC143" s="21">
        <f>EXP(-LN(2)/2)*EC142+(1-EXP(-LN(2)/2))/(LN(2)/2)*DW143*DZ143*VLOOKUP('Données projet'!$B$14,Paramètres!$A$1:$I$89,3,0)*0.475*44/12</f>
        <v>3.2473102128630379E-16</v>
      </c>
      <c r="ED143" s="22">
        <f t="shared" si="126"/>
        <v>1.7646798479741903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5.6843418860808015E-14</v>
      </c>
      <c r="EK143" s="17">
        <f>EJ143*VLOOKUP('Données projet'!$B$15,Paramètres!$A$1:$I$89,3,0)*VLOOKUP('Données projet'!$B$15,Paramètres!$A$1:$I$89,5,0)</f>
        <v>4.9658410716801891E-14</v>
      </c>
      <c r="EL143" s="13">
        <f t="shared" si="153"/>
        <v>8.0934058173791862E-13</v>
      </c>
      <c r="EM143" s="20">
        <f t="shared" si="127"/>
        <v>1.4960899118586383E-12</v>
      </c>
      <c r="EN143" s="59">
        <f t="shared" si="128"/>
        <v>293.33333333333479</v>
      </c>
      <c r="EO143" s="59">
        <f ca="1">AVERAGE(OFFSET($EN$3,0,0,'Données projet'!$E$15+1,1))-AVERAGE(OFFSET($H$3,0,0,'Données projet'!$E$15+1,1))</f>
        <v>255.2813753128475</v>
      </c>
      <c r="EP143" s="59">
        <f t="shared" si="154"/>
        <v>317.03005098025352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0.63862492698673601</v>
      </c>
      <c r="EW143" s="21">
        <f>EXP(-LN(2)/25)*EW142+(1-EXP(-LN(2)/25))/(LN(2)/25)*Calculateur!ER143*Calculateur!ET143*VLOOKUP('Données projet'!$B$15,Paramètres!$A$1:$I$89,3,0)*0.475*44/12</f>
        <v>0.83532261913672101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1.473947546123457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1.7053025658242404E-13</v>
      </c>
      <c r="O144" s="13">
        <f>N144*VLOOKUP('Données projet'!$B$9,Paramètres!$A$1:$I$89,3,0)*VLOOKUP('Données projet'!$B$9,Paramètres!$A$1:$I$89,5,0)</f>
        <v>1.250327841262333E-13</v>
      </c>
      <c r="P144" s="13">
        <f t="shared" si="141"/>
        <v>1.8301318724634299E-12</v>
      </c>
      <c r="Q144" s="20">
        <f t="shared" si="108"/>
        <v>3.405245110226996E-12</v>
      </c>
      <c r="R144" s="59">
        <f t="shared" si="109"/>
        <v>293.33333333333672</v>
      </c>
      <c r="S144" s="59">
        <f ca="1">AVERAGE(OFFSET($R$3,0,0,'Données projet'!$E$9+1,1))-AVERAGE(OFFSET($H$3,0,0,'Données projet'!$E$9+1,1))</f>
        <v>193.60868637458515</v>
      </c>
      <c r="T144" s="59">
        <f t="shared" si="142"/>
        <v>272.97841038165217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-1.3567387213697657E-13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281.79835088425858</v>
      </c>
      <c r="AO144" s="59">
        <f t="shared" si="144"/>
        <v>345.4750813433123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343.6089004382095</v>
      </c>
      <c r="BJ144" s="59">
        <f t="shared" si="146"/>
        <v>278.21741231699929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4.4337866711430253E-14</v>
      </c>
      <c r="CA144" s="13">
        <f t="shared" si="147"/>
        <v>7.3222115536967035E-13</v>
      </c>
      <c r="CB144" s="20">
        <f t="shared" si="118"/>
        <v>1.3525069634579169E-12</v>
      </c>
      <c r="CC144" s="59">
        <f t="shared" si="119"/>
        <v>293.33333333333468</v>
      </c>
      <c r="CD144" s="59">
        <f ca="1">AVERAGE(OFFSET($CC$3,0,0,'Données projet'!$E$12+1,1))-AVERAGE(OFFSET($H$3,0,0,'Données projet'!$E$12+1,1))</f>
        <v>288.82868507674738</v>
      </c>
      <c r="CE144" s="59">
        <f t="shared" si="148"/>
        <v>283.48738729114024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0.14445908103294972</v>
      </c>
      <c r="CM144" s="21">
        <f>EXP(-LN(2)/2)*CM143+(1-EXP(-LN(2)/2))/(LN(2)/2)*CG144*CJ144*VLOOKUP('Données projet'!$B$12,Paramètres!$A$1:$I$89,3,0)*0.475*44/12</f>
        <v>6.4179637810894008E-17</v>
      </c>
      <c r="CN144" s="22">
        <f t="shared" si="120"/>
        <v>0.14445908103294977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-5.6843418860808015E-14</v>
      </c>
      <c r="CU144" s="17">
        <f>CT144*VLOOKUP('Données projet'!$B$13,Paramètres!$A$1:$I$89,3,0)*VLOOKUP('Données projet'!$B$13,Paramètres!$A$1:$I$89,5,0)</f>
        <v>-4.8771653382573282E-14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273.73158910361786</v>
      </c>
      <c r="CZ144" s="59">
        <f t="shared" si="150"/>
        <v>256.77417912163997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-3.4106051316484809E-13</v>
      </c>
      <c r="DP144" s="17">
        <f>DO144*VLOOKUP('Données projet'!$B$14,Paramètres!$A$1:$I$89,3,0)*VLOOKUP('Données projet'!$B$14,Paramètres!$A$1:$I$89,5,0)</f>
        <v>-1.9065282685915009E-13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534.78683721545372</v>
      </c>
      <c r="DU144" s="59">
        <f t="shared" si="152"/>
        <v>710.59298755711075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0.60661413120917962</v>
      </c>
      <c r="EB144" s="21">
        <f>EXP(-LN(2)/25)*EB143+(1-EXP(-LN(2)/25))/(LN(2)/25)*Calculateur!DW144*Calculateur!DY144*VLOOKUP('Données projet'!$B$14,Paramètres!$A$1:$I$89,3,0)*0.475*44/12</f>
        <v>1.1145968745214936</v>
      </c>
      <c r="EC144" s="21">
        <f>EXP(-LN(2)/2)*EC143+(1-EXP(-LN(2)/2))/(LN(2)/2)*DW144*DZ144*VLOOKUP('Données projet'!$B$14,Paramètres!$A$1:$I$89,3,0)*0.475*44/12</f>
        <v>2.2961950721317852E-16</v>
      </c>
      <c r="ED144" s="22">
        <f t="shared" si="126"/>
        <v>1.7212110057306733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5.6843418860808015E-14</v>
      </c>
      <c r="EK144" s="17">
        <f>EJ144*VLOOKUP('Données projet'!$B$15,Paramètres!$A$1:$I$89,3,0)*VLOOKUP('Données projet'!$B$15,Paramètres!$A$1:$I$89,5,0)</f>
        <v>4.9658410716801891E-14</v>
      </c>
      <c r="EL144" s="13">
        <f t="shared" si="153"/>
        <v>8.0934058173791862E-13</v>
      </c>
      <c r="EM144" s="20">
        <f t="shared" si="127"/>
        <v>1.4960899118586383E-12</v>
      </c>
      <c r="EN144" s="59">
        <f t="shared" si="128"/>
        <v>293.33333333333479</v>
      </c>
      <c r="EO144" s="59">
        <f ca="1">AVERAGE(OFFSET($EN$3,0,0,'Données projet'!$E$15+1,1))-AVERAGE(OFFSET($H$3,0,0,'Données projet'!$E$15+1,1))</f>
        <v>255.2813753128475</v>
      </c>
      <c r="EP144" s="59">
        <f t="shared" si="154"/>
        <v>317.03005098025352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0.62610188169126935</v>
      </c>
      <c r="EW144" s="21">
        <f>EXP(-LN(2)/25)*EW143+(1-EXP(-LN(2)/25))/(LN(2)/25)*Calculateur!ER144*Calculateur!ET144*VLOOKUP('Données projet'!$B$15,Paramètres!$A$1:$I$89,3,0)*0.475*44/12</f>
        <v>0.81248067818871994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1.4385825598799893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1.7053025658242404E-13</v>
      </c>
      <c r="O145" s="13">
        <f>N145*VLOOKUP('Données projet'!$B$9,Paramètres!$A$1:$I$89,3,0)*VLOOKUP('Données projet'!$B$9,Paramètres!$A$1:$I$89,5,0)</f>
        <v>1.250327841262333E-13</v>
      </c>
      <c r="P145" s="13">
        <f t="shared" si="141"/>
        <v>1.8301318724634299E-12</v>
      </c>
      <c r="Q145" s="20">
        <f t="shared" si="108"/>
        <v>3.405245110226996E-12</v>
      </c>
      <c r="R145" s="59">
        <f t="shared" si="109"/>
        <v>293.33333333333672</v>
      </c>
      <c r="S145" s="59">
        <f ca="1">AVERAGE(OFFSET($R$3,0,0,'Données projet'!$E$9+1,1))-AVERAGE(OFFSET($H$3,0,0,'Données projet'!$E$9+1,1))</f>
        <v>193.60868637458515</v>
      </c>
      <c r="T145" s="59">
        <f t="shared" si="142"/>
        <v>272.97841038165217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-1.3567387213697657E-13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281.79835088425858</v>
      </c>
      <c r="AO145" s="59">
        <f t="shared" si="144"/>
        <v>345.4750813433123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343.6089004382095</v>
      </c>
      <c r="BJ145" s="59">
        <f t="shared" si="146"/>
        <v>278.21741231699929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4.4337866711430253E-14</v>
      </c>
      <c r="CA145" s="13">
        <f t="shared" si="147"/>
        <v>7.3222115536967035E-13</v>
      </c>
      <c r="CB145" s="20">
        <f t="shared" si="118"/>
        <v>1.3525069634579169E-12</v>
      </c>
      <c r="CC145" s="59">
        <f t="shared" si="119"/>
        <v>293.33333333333468</v>
      </c>
      <c r="CD145" s="59">
        <f ca="1">AVERAGE(OFFSET($CC$3,0,0,'Données projet'!$E$12+1,1))-AVERAGE(OFFSET($H$3,0,0,'Données projet'!$E$12+1,1))</f>
        <v>288.82868507674738</v>
      </c>
      <c r="CE145" s="59">
        <f t="shared" si="148"/>
        <v>283.48738729114024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0.1405088398653308</v>
      </c>
      <c r="CM145" s="21">
        <f>EXP(-LN(2)/2)*CM144+(1-EXP(-LN(2)/2))/(LN(2)/2)*CG145*CJ145*VLOOKUP('Données projet'!$B$12,Paramètres!$A$1:$I$89,3,0)*0.475*44/12</f>
        <v>4.5381857110179702E-17</v>
      </c>
      <c r="CN145" s="22">
        <f t="shared" si="120"/>
        <v>0.14050883986533086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-5.6843418860808015E-14</v>
      </c>
      <c r="CU145" s="17">
        <f>CT145*VLOOKUP('Données projet'!$B$13,Paramètres!$A$1:$I$89,3,0)*VLOOKUP('Données projet'!$B$13,Paramètres!$A$1:$I$89,5,0)</f>
        <v>-4.8771653382573282E-14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273.73158910361786</v>
      </c>
      <c r="CZ145" s="59">
        <f t="shared" si="150"/>
        <v>256.77417912163997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-3.4106051316484809E-13</v>
      </c>
      <c r="DP145" s="17">
        <f>DO145*VLOOKUP('Données projet'!$B$14,Paramètres!$A$1:$I$89,3,0)*VLOOKUP('Données projet'!$B$14,Paramètres!$A$1:$I$89,5,0)</f>
        <v>-1.9065282685915009E-13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534.78683721545372</v>
      </c>
      <c r="DU145" s="59">
        <f t="shared" si="152"/>
        <v>710.59298755711075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0.59471879809425332</v>
      </c>
      <c r="EB145" s="21">
        <f>EXP(-LN(2)/25)*EB144+(1-EXP(-LN(2)/25))/(LN(2)/25)*Calculateur!DW145*Calculateur!DY145*VLOOKUP('Données projet'!$B$14,Paramètres!$A$1:$I$89,3,0)*0.475*44/12</f>
        <v>1.0841181643736011</v>
      </c>
      <c r="EC145" s="21">
        <f>EXP(-LN(2)/2)*EC144+(1-EXP(-LN(2)/2))/(LN(2)/2)*DW145*DZ145*VLOOKUP('Données projet'!$B$14,Paramètres!$A$1:$I$89,3,0)*0.475*44/12</f>
        <v>1.6236551064315189E-16</v>
      </c>
      <c r="ED145" s="22">
        <f t="shared" si="126"/>
        <v>1.6788369624678545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5.6843418860808015E-14</v>
      </c>
      <c r="EK145" s="17">
        <f>EJ145*VLOOKUP('Données projet'!$B$15,Paramètres!$A$1:$I$89,3,0)*VLOOKUP('Données projet'!$B$15,Paramètres!$A$1:$I$89,5,0)</f>
        <v>4.9658410716801891E-14</v>
      </c>
      <c r="EL145" s="13">
        <f t="shared" si="153"/>
        <v>8.0934058173791862E-13</v>
      </c>
      <c r="EM145" s="20">
        <f t="shared" si="127"/>
        <v>1.4960899118586383E-12</v>
      </c>
      <c r="EN145" s="59">
        <f t="shared" si="128"/>
        <v>293.33333333333479</v>
      </c>
      <c r="EO145" s="59">
        <f ca="1">AVERAGE(OFFSET($EN$3,0,0,'Données projet'!$E$15+1,1))-AVERAGE(OFFSET($H$3,0,0,'Données projet'!$E$15+1,1))</f>
        <v>255.2813753128475</v>
      </c>
      <c r="EP145" s="59">
        <f t="shared" si="154"/>
        <v>317.03005098025352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0.61382440567574348</v>
      </c>
      <c r="EW145" s="21">
        <f>EXP(-LN(2)/25)*EW144+(1-EXP(-LN(2)/25))/(LN(2)/25)*Calculateur!ER145*Calculateur!ET145*VLOOKUP('Données projet'!$B$15,Paramètres!$A$1:$I$89,3,0)*0.475*44/12</f>
        <v>0.79026335131714742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1.4040877569928909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1.7053025658242404E-13</v>
      </c>
      <c r="O146" s="13">
        <f>N146*VLOOKUP('Données projet'!$B$9,Paramètres!$A$1:$I$89,3,0)*VLOOKUP('Données projet'!$B$9,Paramètres!$A$1:$I$89,5,0)</f>
        <v>1.250327841262333E-13</v>
      </c>
      <c r="P146" s="13">
        <f t="shared" si="141"/>
        <v>1.8301318724634299E-12</v>
      </c>
      <c r="Q146" s="20">
        <f t="shared" si="108"/>
        <v>3.405245110226996E-12</v>
      </c>
      <c r="R146" s="59">
        <f t="shared" si="109"/>
        <v>293.33333333333672</v>
      </c>
      <c r="S146" s="59">
        <f ca="1">AVERAGE(OFFSET($R$3,0,0,'Données projet'!$E$9+1,1))-AVERAGE(OFFSET($H$3,0,0,'Données projet'!$E$9+1,1))</f>
        <v>193.60868637458515</v>
      </c>
      <c r="T146" s="59">
        <f t="shared" si="142"/>
        <v>272.97841038165217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-1.3567387213697657E-13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281.79835088425858</v>
      </c>
      <c r="AO146" s="59">
        <f t="shared" si="144"/>
        <v>345.4750813433123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343.6089004382095</v>
      </c>
      <c r="BJ146" s="59">
        <f t="shared" si="146"/>
        <v>278.21741231699929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4.4337866711430253E-14</v>
      </c>
      <c r="CA146" s="13">
        <f t="shared" si="147"/>
        <v>7.3222115536967035E-13</v>
      </c>
      <c r="CB146" s="20">
        <f t="shared" si="118"/>
        <v>1.3525069634579169E-12</v>
      </c>
      <c r="CC146" s="59">
        <f t="shared" si="119"/>
        <v>293.33333333333468</v>
      </c>
      <c r="CD146" s="59">
        <f ca="1">AVERAGE(OFFSET($CC$3,0,0,'Données projet'!$E$12+1,1))-AVERAGE(OFFSET($H$3,0,0,'Données projet'!$E$12+1,1))</f>
        <v>288.82868507674738</v>
      </c>
      <c r="CE146" s="59">
        <f t="shared" si="148"/>
        <v>283.48738729114024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0.13666661825017459</v>
      </c>
      <c r="CM146" s="21">
        <f>EXP(-LN(2)/2)*CM145+(1-EXP(-LN(2)/2))/(LN(2)/2)*CG146*CJ146*VLOOKUP('Données projet'!$B$12,Paramètres!$A$1:$I$89,3,0)*0.475*44/12</f>
        <v>3.2089818905447004E-17</v>
      </c>
      <c r="CN146" s="22">
        <f t="shared" si="120"/>
        <v>0.13666661825017462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-5.6843418860808015E-14</v>
      </c>
      <c r="CU146" s="17">
        <f>CT146*VLOOKUP('Données projet'!$B$13,Paramètres!$A$1:$I$89,3,0)*VLOOKUP('Données projet'!$B$13,Paramètres!$A$1:$I$89,5,0)</f>
        <v>-4.8771653382573282E-14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273.73158910361786</v>
      </c>
      <c r="CZ146" s="59">
        <f t="shared" si="150"/>
        <v>256.77417912163997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-3.4106051316484809E-13</v>
      </c>
      <c r="DP146" s="17">
        <f>DO146*VLOOKUP('Données projet'!$B$14,Paramètres!$A$1:$I$89,3,0)*VLOOKUP('Données projet'!$B$14,Paramètres!$A$1:$I$89,5,0)</f>
        <v>-1.9065282685915009E-13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534.78683721545372</v>
      </c>
      <c r="DU146" s="59">
        <f t="shared" si="152"/>
        <v>710.59298755711075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0.58305672520627394</v>
      </c>
      <c r="EB146" s="21">
        <f>EXP(-LN(2)/25)*EB145+(1-EXP(-LN(2)/25))/(LN(2)/25)*Calculateur!DW146*Calculateur!DY146*VLOOKUP('Données projet'!$B$14,Paramètres!$A$1:$I$89,3,0)*0.475*44/12</f>
        <v>1.0544728961575085</v>
      </c>
      <c r="EC146" s="21">
        <f>EXP(-LN(2)/2)*EC145+(1-EXP(-LN(2)/2))/(LN(2)/2)*DW146*DZ146*VLOOKUP('Données projet'!$B$14,Paramètres!$A$1:$I$89,3,0)*0.475*44/12</f>
        <v>1.1480975360658926E-16</v>
      </c>
      <c r="ED146" s="22">
        <f t="shared" si="126"/>
        <v>1.6375296213637827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5.6843418860808015E-14</v>
      </c>
      <c r="EK146" s="17">
        <f>EJ146*VLOOKUP('Données projet'!$B$15,Paramètres!$A$1:$I$89,3,0)*VLOOKUP('Données projet'!$B$15,Paramètres!$A$1:$I$89,5,0)</f>
        <v>4.9658410716801891E-14</v>
      </c>
      <c r="EL146" s="13">
        <f t="shared" si="153"/>
        <v>8.0934058173791862E-13</v>
      </c>
      <c r="EM146" s="20">
        <f t="shared" si="127"/>
        <v>1.4960899118586383E-12</v>
      </c>
      <c r="EN146" s="59">
        <f t="shared" si="128"/>
        <v>293.33333333333479</v>
      </c>
      <c r="EO146" s="59">
        <f ca="1">AVERAGE(OFFSET($EN$3,0,0,'Données projet'!$E$15+1,1))-AVERAGE(OFFSET($H$3,0,0,'Données projet'!$E$15+1,1))</f>
        <v>255.2813753128475</v>
      </c>
      <c r="EP146" s="59">
        <f t="shared" si="154"/>
        <v>317.03005098025352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0.60178768347636113</v>
      </c>
      <c r="EW146" s="21">
        <f>EXP(-LN(2)/25)*EW145+(1-EXP(-LN(2)/25))/(LN(2)/25)*Calculateur!ER146*Calculateur!ET146*VLOOKUP('Données projet'!$B$15,Paramètres!$A$1:$I$89,3,0)*0.475*44/12</f>
        <v>0.76865355841723659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1.3704412418935976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1.7053025658242404E-13</v>
      </c>
      <c r="O147" s="13">
        <f>N147*VLOOKUP('Données projet'!$B$9,Paramètres!$A$1:$I$89,3,0)*VLOOKUP('Données projet'!$B$9,Paramètres!$A$1:$I$89,5,0)</f>
        <v>1.250327841262333E-13</v>
      </c>
      <c r="P147" s="13">
        <f t="shared" si="141"/>
        <v>1.8301318724634299E-12</v>
      </c>
      <c r="Q147" s="20">
        <f t="shared" si="108"/>
        <v>3.405245110226996E-12</v>
      </c>
      <c r="R147" s="59">
        <f t="shared" si="109"/>
        <v>293.33333333333672</v>
      </c>
      <c r="S147" s="59">
        <f ca="1">AVERAGE(OFFSET($R$3,0,0,'Données projet'!$E$9+1,1))-AVERAGE(OFFSET($H$3,0,0,'Données projet'!$E$9+1,1))</f>
        <v>193.60868637458515</v>
      </c>
      <c r="T147" s="59">
        <f t="shared" si="142"/>
        <v>272.97841038165217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-1.3567387213697657E-13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281.79835088425858</v>
      </c>
      <c r="AO147" s="59">
        <f t="shared" si="144"/>
        <v>345.4750813433123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343.6089004382095</v>
      </c>
      <c r="BJ147" s="59">
        <f t="shared" si="146"/>
        <v>278.21741231699929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4.4337866711430253E-14</v>
      </c>
      <c r="CA147" s="13">
        <f t="shared" si="147"/>
        <v>7.3222115536967035E-13</v>
      </c>
      <c r="CB147" s="20">
        <f t="shared" si="118"/>
        <v>1.3525069634579169E-12</v>
      </c>
      <c r="CC147" s="59">
        <f t="shared" si="119"/>
        <v>293.33333333333468</v>
      </c>
      <c r="CD147" s="59">
        <f ca="1">AVERAGE(OFFSET($CC$3,0,0,'Données projet'!$E$12+1,1))-AVERAGE(OFFSET($H$3,0,0,'Données projet'!$E$12+1,1))</f>
        <v>288.82868507674738</v>
      </c>
      <c r="CE147" s="59">
        <f t="shared" si="148"/>
        <v>283.48738729114024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0.13292946238713846</v>
      </c>
      <c r="CM147" s="21">
        <f>EXP(-LN(2)/2)*CM146+(1-EXP(-LN(2)/2))/(LN(2)/2)*CG147*CJ147*VLOOKUP('Données projet'!$B$12,Paramètres!$A$1:$I$89,3,0)*0.475*44/12</f>
        <v>2.2690928555089851E-17</v>
      </c>
      <c r="CN147" s="22">
        <f t="shared" si="120"/>
        <v>0.13292946238713849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-5.6843418860808015E-14</v>
      </c>
      <c r="CU147" s="17">
        <f>CT147*VLOOKUP('Données projet'!$B$13,Paramètres!$A$1:$I$89,3,0)*VLOOKUP('Données projet'!$B$13,Paramètres!$A$1:$I$89,5,0)</f>
        <v>-4.8771653382573282E-14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273.73158910361786</v>
      </c>
      <c r="CZ147" s="59">
        <f t="shared" si="150"/>
        <v>256.77417912163997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-3.4106051316484809E-13</v>
      </c>
      <c r="DP147" s="17">
        <f>DO147*VLOOKUP('Données projet'!$B$14,Paramètres!$A$1:$I$89,3,0)*VLOOKUP('Données projet'!$B$14,Paramètres!$A$1:$I$89,5,0)</f>
        <v>-1.9065282685915009E-13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534.78683721545372</v>
      </c>
      <c r="DU147" s="59">
        <f t="shared" si="152"/>
        <v>710.59298755711075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0.57162333845446578</v>
      </c>
      <c r="EB147" s="21">
        <f>EXP(-LN(2)/25)*EB146+(1-EXP(-LN(2)/25))/(LN(2)/25)*Calculateur!DW147*Calculateur!DY147*VLOOKUP('Données projet'!$B$14,Paramètres!$A$1:$I$89,3,0)*0.475*44/12</f>
        <v>1.0256382793597618</v>
      </c>
      <c r="EC147" s="21">
        <f>EXP(-LN(2)/2)*EC146+(1-EXP(-LN(2)/2))/(LN(2)/2)*DW147*DZ147*VLOOKUP('Données projet'!$B$14,Paramètres!$A$1:$I$89,3,0)*0.475*44/12</f>
        <v>8.1182755321575947E-17</v>
      </c>
      <c r="ED147" s="22">
        <f t="shared" si="126"/>
        <v>1.5972616178142276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5.6843418860808015E-14</v>
      </c>
      <c r="EK147" s="17">
        <f>EJ147*VLOOKUP('Données projet'!$B$15,Paramètres!$A$1:$I$89,3,0)*VLOOKUP('Données projet'!$B$15,Paramètres!$A$1:$I$89,5,0)</f>
        <v>4.9658410716801891E-14</v>
      </c>
      <c r="EL147" s="13">
        <f t="shared" si="153"/>
        <v>8.0934058173791862E-13</v>
      </c>
      <c r="EM147" s="20">
        <f t="shared" si="127"/>
        <v>1.4960899118586383E-12</v>
      </c>
      <c r="EN147" s="59">
        <f t="shared" si="128"/>
        <v>293.33333333333479</v>
      </c>
      <c r="EO147" s="59">
        <f ca="1">AVERAGE(OFFSET($EN$3,0,0,'Données projet'!$E$15+1,1))-AVERAGE(OFFSET($H$3,0,0,'Données projet'!$E$15+1,1))</f>
        <v>255.2813753128475</v>
      </c>
      <c r="EP147" s="59">
        <f t="shared" si="154"/>
        <v>317.03005098025352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0.589986994057633</v>
      </c>
      <c r="EW147" s="21">
        <f>EXP(-LN(2)/25)*EW146+(1-EXP(-LN(2)/25))/(LN(2)/25)*Calculateur!ER147*Calculateur!ET147*VLOOKUP('Données projet'!$B$15,Paramètres!$A$1:$I$89,3,0)*0.475*44/12</f>
        <v>0.7476346864405834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1.3376216804982164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1.7053025658242404E-13</v>
      </c>
      <c r="O148" s="13">
        <f>N148*VLOOKUP('Données projet'!$B$9,Paramètres!$A$1:$I$89,3,0)*VLOOKUP('Données projet'!$B$9,Paramètres!$A$1:$I$89,5,0)</f>
        <v>1.250327841262333E-13</v>
      </c>
      <c r="P148" s="13">
        <f t="shared" si="141"/>
        <v>1.8301318724634299E-12</v>
      </c>
      <c r="Q148" s="20">
        <f t="shared" si="108"/>
        <v>3.405245110226996E-12</v>
      </c>
      <c r="R148" s="59">
        <f t="shared" si="109"/>
        <v>293.33333333333672</v>
      </c>
      <c r="S148" s="59">
        <f ca="1">AVERAGE(OFFSET($R$3,0,0,'Données projet'!$E$9+1,1))-AVERAGE(OFFSET($H$3,0,0,'Données projet'!$E$9+1,1))</f>
        <v>193.60868637458515</v>
      </c>
      <c r="T148" s="59">
        <f t="shared" si="142"/>
        <v>272.97841038165217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-1.3567387213697657E-13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281.79835088425858</v>
      </c>
      <c r="AO148" s="59">
        <f t="shared" si="144"/>
        <v>345.4750813433123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343.6089004382095</v>
      </c>
      <c r="BJ148" s="59">
        <f t="shared" si="146"/>
        <v>278.21741231699929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4.4337866711430253E-14</v>
      </c>
      <c r="CA148" s="13">
        <f t="shared" si="147"/>
        <v>7.3222115536967035E-13</v>
      </c>
      <c r="CB148" s="20">
        <f t="shared" si="118"/>
        <v>1.3525069634579169E-12</v>
      </c>
      <c r="CC148" s="59">
        <f t="shared" si="119"/>
        <v>293.33333333333468</v>
      </c>
      <c r="CD148" s="59">
        <f ca="1">AVERAGE(OFFSET($CC$3,0,0,'Données projet'!$E$12+1,1))-AVERAGE(OFFSET($H$3,0,0,'Données projet'!$E$12+1,1))</f>
        <v>288.82868507674738</v>
      </c>
      <c r="CE148" s="59">
        <f t="shared" si="148"/>
        <v>283.48738729114024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0.12929449924770556</v>
      </c>
      <c r="CM148" s="21">
        <f>EXP(-LN(2)/2)*CM147+(1-EXP(-LN(2)/2))/(LN(2)/2)*CG148*CJ148*VLOOKUP('Données projet'!$B$12,Paramètres!$A$1:$I$89,3,0)*0.475*44/12</f>
        <v>1.6044909452723502E-17</v>
      </c>
      <c r="CN148" s="22">
        <f t="shared" si="120"/>
        <v>0.12929449924770559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-5.6843418860808015E-14</v>
      </c>
      <c r="CU148" s="17">
        <f>CT148*VLOOKUP('Données projet'!$B$13,Paramètres!$A$1:$I$89,3,0)*VLOOKUP('Données projet'!$B$13,Paramètres!$A$1:$I$89,5,0)</f>
        <v>-4.8771653382573282E-14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273.73158910361786</v>
      </c>
      <c r="CZ148" s="59">
        <f t="shared" si="150"/>
        <v>256.77417912163997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-3.4106051316484809E-13</v>
      </c>
      <c r="DP148" s="17">
        <f>DO148*VLOOKUP('Données projet'!$B$14,Paramètres!$A$1:$I$89,3,0)*VLOOKUP('Données projet'!$B$14,Paramètres!$A$1:$I$89,5,0)</f>
        <v>-1.9065282685915009E-13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534.78683721545372</v>
      </c>
      <c r="DU148" s="59">
        <f t="shared" si="152"/>
        <v>710.59298755711075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0.56041415344318324</v>
      </c>
      <c r="EB148" s="21">
        <f>EXP(-LN(2)/25)*EB147+(1-EXP(-LN(2)/25))/(LN(2)/25)*Calculateur!DW148*Calculateur!DY148*VLOOKUP('Données projet'!$B$14,Paramètres!$A$1:$I$89,3,0)*0.475*44/12</f>
        <v>0.9975921466746962</v>
      </c>
      <c r="EC148" s="21">
        <f>EXP(-LN(2)/2)*EC147+(1-EXP(-LN(2)/2))/(LN(2)/2)*DW148*DZ148*VLOOKUP('Données projet'!$B$14,Paramètres!$A$1:$I$89,3,0)*0.475*44/12</f>
        <v>5.740487680329463E-17</v>
      </c>
      <c r="ED148" s="22">
        <f t="shared" si="126"/>
        <v>1.5580063001178794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5.6843418860808015E-14</v>
      </c>
      <c r="EK148" s="17">
        <f>EJ148*VLOOKUP('Données projet'!$B$15,Paramètres!$A$1:$I$89,3,0)*VLOOKUP('Données projet'!$B$15,Paramètres!$A$1:$I$89,5,0)</f>
        <v>4.9658410716801891E-14</v>
      </c>
      <c r="EL148" s="13">
        <f t="shared" si="153"/>
        <v>8.0934058173791862E-13</v>
      </c>
      <c r="EM148" s="20">
        <f t="shared" si="127"/>
        <v>1.4960899118586383E-12</v>
      </c>
      <c r="EN148" s="59">
        <f t="shared" si="128"/>
        <v>293.33333333333479</v>
      </c>
      <c r="EO148" s="59">
        <f ca="1">AVERAGE(OFFSET($EN$3,0,0,'Données projet'!$E$15+1,1))-AVERAGE(OFFSET($H$3,0,0,'Données projet'!$E$15+1,1))</f>
        <v>255.2813753128475</v>
      </c>
      <c r="EP148" s="59">
        <f t="shared" si="154"/>
        <v>317.03005098025352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0.57841770896069633</v>
      </c>
      <c r="EW148" s="21">
        <f>EXP(-LN(2)/25)*EW147+(1-EXP(-LN(2)/25))/(LN(2)/25)*Calculateur!ER148*Calculateur!ET148*VLOOKUP('Données projet'!$B$15,Paramètres!$A$1:$I$89,3,0)*0.475*44/12</f>
        <v>0.7271905766234662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1.3056082855841624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1.7053025658242404E-13</v>
      </c>
      <c r="O149" s="13">
        <f>N149*VLOOKUP('Données projet'!$B$9,Paramètres!$A$1:$I$89,3,0)*VLOOKUP('Données projet'!$B$9,Paramètres!$A$1:$I$89,5,0)</f>
        <v>1.250327841262333E-13</v>
      </c>
      <c r="P149" s="13">
        <f t="shared" si="141"/>
        <v>1.8301318724634299E-12</v>
      </c>
      <c r="Q149" s="20">
        <f t="shared" si="108"/>
        <v>3.405245110226996E-12</v>
      </c>
      <c r="R149" s="59">
        <f t="shared" si="109"/>
        <v>293.33333333333672</v>
      </c>
      <c r="S149" s="59">
        <f ca="1">AVERAGE(OFFSET($R$3,0,0,'Données projet'!$E$9+1,1))-AVERAGE(OFFSET($H$3,0,0,'Données projet'!$E$9+1,1))</f>
        <v>193.60868637458515</v>
      </c>
      <c r="T149" s="59">
        <f t="shared" si="142"/>
        <v>272.97841038165217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-1.3567387213697657E-13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281.79835088425858</v>
      </c>
      <c r="AO149" s="59">
        <f t="shared" si="144"/>
        <v>345.4750813433123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343.6089004382095</v>
      </c>
      <c r="BJ149" s="59">
        <f t="shared" si="146"/>
        <v>278.21741231699929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4.4337866711430253E-14</v>
      </c>
      <c r="CA149" s="13">
        <f t="shared" si="147"/>
        <v>7.3222115536967035E-13</v>
      </c>
      <c r="CB149" s="20">
        <f t="shared" si="118"/>
        <v>1.3525069634579169E-12</v>
      </c>
      <c r="CC149" s="59">
        <f t="shared" si="119"/>
        <v>293.33333333333468</v>
      </c>
      <c r="CD149" s="59">
        <f ca="1">AVERAGE(OFFSET($CC$3,0,0,'Données projet'!$E$12+1,1))-AVERAGE(OFFSET($H$3,0,0,'Données projet'!$E$12+1,1))</f>
        <v>288.82868507674738</v>
      </c>
      <c r="CE149" s="59">
        <f t="shared" si="148"/>
        <v>283.48738729114024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0.12575893436647484</v>
      </c>
      <c r="CM149" s="21">
        <f>EXP(-LN(2)/2)*CM148+(1-EXP(-LN(2)/2))/(LN(2)/2)*CG149*CJ149*VLOOKUP('Données projet'!$B$12,Paramètres!$A$1:$I$89,3,0)*0.475*44/12</f>
        <v>1.1345464277544925E-17</v>
      </c>
      <c r="CN149" s="22">
        <f t="shared" si="120"/>
        <v>0.12575893436647484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-5.6843418860808015E-14</v>
      </c>
      <c r="CU149" s="17">
        <f>CT149*VLOOKUP('Données projet'!$B$13,Paramètres!$A$1:$I$89,3,0)*VLOOKUP('Données projet'!$B$13,Paramètres!$A$1:$I$89,5,0)</f>
        <v>-4.8771653382573282E-14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273.73158910361786</v>
      </c>
      <c r="CZ149" s="59">
        <f t="shared" si="150"/>
        <v>256.77417912163997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-3.4106051316484809E-13</v>
      </c>
      <c r="DP149" s="17">
        <f>DO149*VLOOKUP('Données projet'!$B$14,Paramètres!$A$1:$I$89,3,0)*VLOOKUP('Données projet'!$B$14,Paramètres!$A$1:$I$89,5,0)</f>
        <v>-1.9065282685915009E-13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534.78683721545372</v>
      </c>
      <c r="DU149" s="59">
        <f t="shared" si="152"/>
        <v>710.59298755711075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0.54942477371304421</v>
      </c>
      <c r="EB149" s="21">
        <f>EXP(-LN(2)/25)*EB148+(1-EXP(-LN(2)/25))/(LN(2)/25)*Calculateur!DW149*Calculateur!DY149*VLOOKUP('Données projet'!$B$14,Paramètres!$A$1:$I$89,3,0)*0.475*44/12</f>
        <v>0.97031293696278564</v>
      </c>
      <c r="EC149" s="21">
        <f>EXP(-LN(2)/2)*EC148+(1-EXP(-LN(2)/2))/(LN(2)/2)*DW149*DZ149*VLOOKUP('Données projet'!$B$14,Paramètres!$A$1:$I$89,3,0)*0.475*44/12</f>
        <v>4.0591377660787974E-17</v>
      </c>
      <c r="ED149" s="22">
        <f t="shared" si="126"/>
        <v>1.5197377106758299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5.6843418860808015E-14</v>
      </c>
      <c r="EK149" s="17">
        <f>EJ149*VLOOKUP('Données projet'!$B$15,Paramètres!$A$1:$I$89,3,0)*VLOOKUP('Données projet'!$B$15,Paramètres!$A$1:$I$89,5,0)</f>
        <v>4.9658410716801891E-14</v>
      </c>
      <c r="EL149" s="13">
        <f t="shared" si="153"/>
        <v>8.0934058173791862E-13</v>
      </c>
      <c r="EM149" s="20">
        <f t="shared" si="127"/>
        <v>1.4960899118586383E-12</v>
      </c>
      <c r="EN149" s="59">
        <f t="shared" si="128"/>
        <v>293.33333333333479</v>
      </c>
      <c r="EO149" s="59">
        <f ca="1">AVERAGE(OFFSET($EN$3,0,0,'Données projet'!$E$15+1,1))-AVERAGE(OFFSET($H$3,0,0,'Données projet'!$E$15+1,1))</f>
        <v>255.2813753128475</v>
      </c>
      <c r="EP149" s="59">
        <f t="shared" si="154"/>
        <v>317.03005098025352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0.56707529048794347</v>
      </c>
      <c r="EW149" s="21">
        <f>EXP(-LN(2)/25)*EW148+(1-EXP(-LN(2)/25))/(LN(2)/25)*Calculateur!ER149*Calculateur!ET149*VLOOKUP('Données projet'!$B$15,Paramètres!$A$1:$I$89,3,0)*0.475*44/12</f>
        <v>0.70730551206440706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1.2743808025523506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1.7053025658242404E-13</v>
      </c>
      <c r="O150" s="13">
        <f>N150*VLOOKUP('Données projet'!$B$9,Paramètres!$A$1:$I$89,3,0)*VLOOKUP('Données projet'!$B$9,Paramètres!$A$1:$I$89,5,0)</f>
        <v>1.250327841262333E-13</v>
      </c>
      <c r="P150" s="13">
        <f t="shared" si="141"/>
        <v>1.8301318724634299E-12</v>
      </c>
      <c r="Q150" s="20">
        <f t="shared" si="108"/>
        <v>3.405245110226996E-12</v>
      </c>
      <c r="R150" s="59">
        <f t="shared" si="109"/>
        <v>293.33333333333672</v>
      </c>
      <c r="S150" s="59">
        <f ca="1">AVERAGE(OFFSET($R$3,0,0,'Données projet'!$E$9+1,1))-AVERAGE(OFFSET($H$3,0,0,'Données projet'!$E$9+1,1))</f>
        <v>193.60868637458515</v>
      </c>
      <c r="T150" s="59">
        <f t="shared" si="142"/>
        <v>272.97841038165217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-1.3567387213697657E-13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281.79835088425858</v>
      </c>
      <c r="AO150" s="59">
        <f t="shared" si="144"/>
        <v>345.4750813433123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343.6089004382095</v>
      </c>
      <c r="BJ150" s="59">
        <f t="shared" si="146"/>
        <v>278.21741231699929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4.4337866711430253E-14</v>
      </c>
      <c r="CA150" s="13">
        <f t="shared" si="147"/>
        <v>7.3222115536967035E-13</v>
      </c>
      <c r="CB150" s="20">
        <f t="shared" si="118"/>
        <v>1.3525069634579169E-12</v>
      </c>
      <c r="CC150" s="59">
        <f t="shared" si="119"/>
        <v>293.33333333333468</v>
      </c>
      <c r="CD150" s="59">
        <f ca="1">AVERAGE(OFFSET($CC$3,0,0,'Données projet'!$E$12+1,1))-AVERAGE(OFFSET($H$3,0,0,'Données projet'!$E$12+1,1))</f>
        <v>288.82868507674738</v>
      </c>
      <c r="CE150" s="59">
        <f t="shared" si="148"/>
        <v>283.48738729114024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0.12232004969284865</v>
      </c>
      <c r="CM150" s="21">
        <f>EXP(-LN(2)/2)*CM149+(1-EXP(-LN(2)/2))/(LN(2)/2)*CG150*CJ150*VLOOKUP('Données projet'!$B$12,Paramètres!$A$1:$I$89,3,0)*0.475*44/12</f>
        <v>8.022454726361751E-18</v>
      </c>
      <c r="CN150" s="22">
        <f t="shared" si="120"/>
        <v>0.12232004969284867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-5.6843418860808015E-14</v>
      </c>
      <c r="CU150" s="17">
        <f>CT150*VLOOKUP('Données projet'!$B$13,Paramètres!$A$1:$I$89,3,0)*VLOOKUP('Données projet'!$B$13,Paramètres!$A$1:$I$89,5,0)</f>
        <v>-4.8771653382573282E-14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273.73158910361786</v>
      </c>
      <c r="CZ150" s="59">
        <f t="shared" si="150"/>
        <v>256.77417912163997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-3.4106051316484809E-13</v>
      </c>
      <c r="DP150" s="17">
        <f>DO150*VLOOKUP('Données projet'!$B$14,Paramètres!$A$1:$I$89,3,0)*VLOOKUP('Données projet'!$B$14,Paramètres!$A$1:$I$89,5,0)</f>
        <v>-1.9065282685915009E-13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534.78683721545372</v>
      </c>
      <c r="DU150" s="59">
        <f t="shared" si="152"/>
        <v>710.59298755711075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0.53865088901655345</v>
      </c>
      <c r="EB150" s="21">
        <f>EXP(-LN(2)/25)*EB149+(1-EXP(-LN(2)/25))/(LN(2)/25)*Calculateur!DW150*Calculateur!DY150*VLOOKUP('Données projet'!$B$14,Paramètres!$A$1:$I$89,3,0)*0.475*44/12</f>
        <v>0.94377967867499857</v>
      </c>
      <c r="EC150" s="21">
        <f>EXP(-LN(2)/2)*EC149+(1-EXP(-LN(2)/2))/(LN(2)/2)*DW150*DZ150*VLOOKUP('Données projet'!$B$14,Paramètres!$A$1:$I$89,3,0)*0.475*44/12</f>
        <v>2.8702438401647315E-17</v>
      </c>
      <c r="ED150" s="22">
        <f t="shared" si="126"/>
        <v>1.4824305676915519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5.6843418860808015E-14</v>
      </c>
      <c r="EK150" s="17">
        <f>EJ150*VLOOKUP('Données projet'!$B$15,Paramètres!$A$1:$I$89,3,0)*VLOOKUP('Données projet'!$B$15,Paramètres!$A$1:$I$89,5,0)</f>
        <v>4.9658410716801891E-14</v>
      </c>
      <c r="EL150" s="13">
        <f t="shared" si="153"/>
        <v>8.0934058173791862E-13</v>
      </c>
      <c r="EM150" s="20">
        <f t="shared" si="127"/>
        <v>1.4960899118586383E-12</v>
      </c>
      <c r="EN150" s="59">
        <f t="shared" si="128"/>
        <v>293.33333333333479</v>
      </c>
      <c r="EO150" s="59">
        <f ca="1">AVERAGE(OFFSET($EN$3,0,0,'Données projet'!$E$15+1,1))-AVERAGE(OFFSET($H$3,0,0,'Données projet'!$E$15+1,1))</f>
        <v>255.2813753128475</v>
      </c>
      <c r="EP150" s="59">
        <f t="shared" si="154"/>
        <v>317.03005098025352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0.55595528992324916</v>
      </c>
      <c r="EW150" s="21">
        <f>EXP(-LN(2)/25)*EW149+(1-EXP(-LN(2)/25))/(LN(2)/25)*Calculateur!ER150*Calculateur!ET150*VLOOKUP('Données projet'!$B$15,Paramètres!$A$1:$I$89,3,0)*0.475*44/12</f>
        <v>0.68796420564142557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1.2439194955646746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1.7053025658242404E-13</v>
      </c>
      <c r="O151" s="13">
        <f>N151*VLOOKUP('Données projet'!$B$9,Paramètres!$A$1:$I$89,3,0)*VLOOKUP('Données projet'!$B$9,Paramètres!$A$1:$I$89,5,0)</f>
        <v>1.250327841262333E-13</v>
      </c>
      <c r="P151" s="13">
        <f t="shared" si="141"/>
        <v>1.8301318724634299E-12</v>
      </c>
      <c r="Q151" s="20">
        <f t="shared" si="108"/>
        <v>3.405245110226996E-12</v>
      </c>
      <c r="R151" s="59">
        <f t="shared" si="109"/>
        <v>293.33333333333672</v>
      </c>
      <c r="S151" s="59">
        <f ca="1">AVERAGE(OFFSET($R$3,0,0,'Données projet'!$E$9+1,1))-AVERAGE(OFFSET($H$3,0,0,'Données projet'!$E$9+1,1))</f>
        <v>193.60868637458515</v>
      </c>
      <c r="T151" s="59">
        <f t="shared" si="142"/>
        <v>272.97841038165217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-1.3567387213697657E-13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281.79835088425858</v>
      </c>
      <c r="AO151" s="59">
        <f t="shared" si="144"/>
        <v>345.4750813433123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343.6089004382095</v>
      </c>
      <c r="BJ151" s="59">
        <f t="shared" si="146"/>
        <v>278.21741231699929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4.4337866711430253E-14</v>
      </c>
      <c r="CA151" s="13">
        <f t="shared" si="147"/>
        <v>7.3222115536967035E-13</v>
      </c>
      <c r="CB151" s="20">
        <f t="shared" si="118"/>
        <v>1.3525069634579169E-12</v>
      </c>
      <c r="CC151" s="59">
        <f t="shared" si="119"/>
        <v>293.33333333333468</v>
      </c>
      <c r="CD151" s="59">
        <f ca="1">AVERAGE(OFFSET($CC$3,0,0,'Données projet'!$E$12+1,1))-AVERAGE(OFFSET($H$3,0,0,'Données projet'!$E$12+1,1))</f>
        <v>288.82868507674738</v>
      </c>
      <c r="CE151" s="59">
        <f t="shared" si="148"/>
        <v>283.48738729114024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0.11897520150146586</v>
      </c>
      <c r="CM151" s="21">
        <f>EXP(-LN(2)/2)*CM150+(1-EXP(-LN(2)/2))/(LN(2)/2)*CG151*CJ151*VLOOKUP('Données projet'!$B$12,Paramètres!$A$1:$I$89,3,0)*0.475*44/12</f>
        <v>5.6727321387724627E-18</v>
      </c>
      <c r="CN151" s="22">
        <f t="shared" si="120"/>
        <v>0.11897520150146586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-5.6843418860808015E-14</v>
      </c>
      <c r="CU151" s="17">
        <f>CT151*VLOOKUP('Données projet'!$B$13,Paramètres!$A$1:$I$89,3,0)*VLOOKUP('Données projet'!$B$13,Paramètres!$A$1:$I$89,5,0)</f>
        <v>-4.8771653382573282E-14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273.73158910361786</v>
      </c>
      <c r="CZ151" s="59">
        <f t="shared" si="150"/>
        <v>256.77417912163997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-3.4106051316484809E-13</v>
      </c>
      <c r="DP151" s="17">
        <f>DO151*VLOOKUP('Données projet'!$B$14,Paramètres!$A$1:$I$89,3,0)*VLOOKUP('Données projet'!$B$14,Paramètres!$A$1:$I$89,5,0)</f>
        <v>-1.9065282685915009E-13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534.78683721545372</v>
      </c>
      <c r="DU151" s="59">
        <f t="shared" si="152"/>
        <v>710.59298755711075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0.52808827362754007</v>
      </c>
      <c r="EB151" s="21">
        <f>EXP(-LN(2)/25)*EB150+(1-EXP(-LN(2)/25))/(LN(2)/25)*Calculateur!DW151*Calculateur!DY151*VLOOKUP('Données projet'!$B$14,Paramètres!$A$1:$I$89,3,0)*0.475*44/12</f>
        <v>0.9179719737304145</v>
      </c>
      <c r="EC151" s="21">
        <f>EXP(-LN(2)/2)*EC150+(1-EXP(-LN(2)/2))/(LN(2)/2)*DW151*DZ151*VLOOKUP('Données projet'!$B$14,Paramètres!$A$1:$I$89,3,0)*0.475*44/12</f>
        <v>2.0295688830393987E-17</v>
      </c>
      <c r="ED151" s="22">
        <f t="shared" si="126"/>
        <v>1.4460602473579547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5.6843418860808015E-14</v>
      </c>
      <c r="EK151" s="17">
        <f>EJ151*VLOOKUP('Données projet'!$B$15,Paramètres!$A$1:$I$89,3,0)*VLOOKUP('Données projet'!$B$15,Paramètres!$A$1:$I$89,5,0)</f>
        <v>4.9658410716801891E-14</v>
      </c>
      <c r="EL151" s="13">
        <f t="shared" si="153"/>
        <v>8.0934058173791862E-13</v>
      </c>
      <c r="EM151" s="20">
        <f t="shared" si="127"/>
        <v>1.4960899118586383E-12</v>
      </c>
      <c r="EN151" s="59">
        <f t="shared" si="128"/>
        <v>293.33333333333479</v>
      </c>
      <c r="EO151" s="59">
        <f ca="1">AVERAGE(OFFSET($EN$3,0,0,'Données projet'!$E$15+1,1))-AVERAGE(OFFSET($H$3,0,0,'Données projet'!$E$15+1,1))</f>
        <v>255.2813753128475</v>
      </c>
      <c r="EP151" s="59">
        <f t="shared" si="154"/>
        <v>317.03005098025352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0.54505334578709785</v>
      </c>
      <c r="EW151" s="21">
        <f>EXP(-LN(2)/25)*EW150+(1-EXP(-LN(2)/25))/(LN(2)/25)*Calculateur!ER151*Calculateur!ET151*VLOOKUP('Données projet'!$B$15,Paramètres!$A$1:$I$89,3,0)*0.475*44/12</f>
        <v>0.66915178825969557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1.2142051340467934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1.7053025658242404E-13</v>
      </c>
      <c r="O152" s="13">
        <f>N152*VLOOKUP('Données projet'!$B$9,Paramètres!$A$1:$I$89,3,0)*VLOOKUP('Données projet'!$B$9,Paramètres!$A$1:$I$89,5,0)</f>
        <v>1.250327841262333E-13</v>
      </c>
      <c r="P152" s="13">
        <f t="shared" si="141"/>
        <v>1.8301318724634299E-12</v>
      </c>
      <c r="Q152" s="20">
        <f t="shared" si="108"/>
        <v>3.405245110226996E-12</v>
      </c>
      <c r="R152" s="59">
        <f t="shared" si="109"/>
        <v>293.33333333333672</v>
      </c>
      <c r="S152" s="59">
        <f ca="1">AVERAGE(OFFSET($R$3,0,0,'Données projet'!$E$9+1,1))-AVERAGE(OFFSET($H$3,0,0,'Données projet'!$E$9+1,1))</f>
        <v>193.60868637458515</v>
      </c>
      <c r="T152" s="59">
        <f t="shared" si="142"/>
        <v>272.97841038165217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-1.3567387213697657E-13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281.79835088425858</v>
      </c>
      <c r="AO152" s="59">
        <f t="shared" si="144"/>
        <v>345.4750813433123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343.6089004382095</v>
      </c>
      <c r="BJ152" s="59">
        <f t="shared" si="146"/>
        <v>278.21741231699929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4.4337866711430253E-14</v>
      </c>
      <c r="CA152" s="13">
        <f t="shared" si="147"/>
        <v>7.3222115536967035E-13</v>
      </c>
      <c r="CB152" s="20">
        <f t="shared" si="118"/>
        <v>1.3525069634579169E-12</v>
      </c>
      <c r="CC152" s="59">
        <f t="shared" si="119"/>
        <v>293.33333333333468</v>
      </c>
      <c r="CD152" s="59">
        <f ca="1">AVERAGE(OFFSET($CC$3,0,0,'Données projet'!$E$12+1,1))-AVERAGE(OFFSET($H$3,0,0,'Données projet'!$E$12+1,1))</f>
        <v>288.82868507674738</v>
      </c>
      <c r="CE152" s="59">
        <f t="shared" si="148"/>
        <v>283.48738729114024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0.11572181835977435</v>
      </c>
      <c r="CM152" s="21">
        <f>EXP(-LN(2)/2)*CM151+(1-EXP(-LN(2)/2))/(LN(2)/2)*CG152*CJ152*VLOOKUP('Données projet'!$B$12,Paramètres!$A$1:$I$89,3,0)*0.475*44/12</f>
        <v>4.0112273631808755E-18</v>
      </c>
      <c r="CN152" s="22">
        <f t="shared" si="120"/>
        <v>0.11572181835977435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-5.6843418860808015E-14</v>
      </c>
      <c r="CU152" s="17">
        <f>CT152*VLOOKUP('Données projet'!$B$13,Paramètres!$A$1:$I$89,3,0)*VLOOKUP('Données projet'!$B$13,Paramètres!$A$1:$I$89,5,0)</f>
        <v>-4.8771653382573282E-14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273.73158910361786</v>
      </c>
      <c r="CZ152" s="59">
        <f t="shared" si="150"/>
        <v>256.77417912163997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-3.4106051316484809E-13</v>
      </c>
      <c r="DP152" s="17">
        <f>DO152*VLOOKUP('Données projet'!$B$14,Paramètres!$A$1:$I$89,3,0)*VLOOKUP('Données projet'!$B$14,Paramètres!$A$1:$I$89,5,0)</f>
        <v>-1.9065282685915009E-13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534.78683721545372</v>
      </c>
      <c r="DU152" s="59">
        <f t="shared" si="152"/>
        <v>710.59298755711075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0.51773278468374595</v>
      </c>
      <c r="EB152" s="21">
        <f>EXP(-LN(2)/25)*EB151+(1-EXP(-LN(2)/25))/(LN(2)/25)*Calculateur!DW152*Calculateur!DY152*VLOOKUP('Données projet'!$B$14,Paramètres!$A$1:$I$89,3,0)*0.475*44/12</f>
        <v>0.89286998183470823</v>
      </c>
      <c r="EC152" s="21">
        <f>EXP(-LN(2)/2)*EC151+(1-EXP(-LN(2)/2))/(LN(2)/2)*DW152*DZ152*VLOOKUP('Données projet'!$B$14,Paramètres!$A$1:$I$89,3,0)*0.475*44/12</f>
        <v>1.4351219200823657E-17</v>
      </c>
      <c r="ED152" s="22">
        <f t="shared" si="126"/>
        <v>1.4106027665184542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5.6843418860808015E-14</v>
      </c>
      <c r="EK152" s="17">
        <f>EJ152*VLOOKUP('Données projet'!$B$15,Paramètres!$A$1:$I$89,3,0)*VLOOKUP('Données projet'!$B$15,Paramètres!$A$1:$I$89,5,0)</f>
        <v>4.9658410716801891E-14</v>
      </c>
      <c r="EL152" s="13">
        <f t="shared" si="153"/>
        <v>8.0934058173791862E-13</v>
      </c>
      <c r="EM152" s="20">
        <f t="shared" si="127"/>
        <v>1.4960899118586383E-12</v>
      </c>
      <c r="EN152" s="59">
        <f t="shared" si="128"/>
        <v>293.33333333333479</v>
      </c>
      <c r="EO152" s="59">
        <f ca="1">AVERAGE(OFFSET($EN$3,0,0,'Données projet'!$E$15+1,1))-AVERAGE(OFFSET($H$3,0,0,'Données projet'!$E$15+1,1))</f>
        <v>255.2813753128475</v>
      </c>
      <c r="EP152" s="59">
        <f t="shared" si="154"/>
        <v>317.03005098025352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0.5343651821259271</v>
      </c>
      <c r="EW152" s="21">
        <f>EXP(-LN(2)/25)*EW151+(1-EXP(-LN(2)/25))/(LN(2)/25)*Calculateur!ER152*Calculateur!ET152*VLOOKUP('Données projet'!$B$15,Paramètres!$A$1:$I$89,3,0)*0.475*44/12</f>
        <v>0.65085379742057103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1.185218979546498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1.7053025658242404E-13</v>
      </c>
      <c r="O153" s="13">
        <f>N153*VLOOKUP('Données projet'!$B$9,Paramètres!$A$1:$I$89,3,0)*VLOOKUP('Données projet'!$B$9,Paramètres!$A$1:$I$89,5,0)</f>
        <v>1.250327841262333E-13</v>
      </c>
      <c r="P153" s="13">
        <f t="shared" si="141"/>
        <v>1.8301318724634299E-12</v>
      </c>
      <c r="Q153" s="20">
        <f t="shared" si="108"/>
        <v>3.405245110226996E-12</v>
      </c>
      <c r="R153" s="59">
        <f t="shared" si="109"/>
        <v>293.33333333333672</v>
      </c>
      <c r="S153" s="59">
        <f ca="1">AVERAGE(OFFSET($R$3,0,0,'Données projet'!$E$9+1,1))-AVERAGE(OFFSET($H$3,0,0,'Données projet'!$E$9+1,1))</f>
        <v>193.60868637458515</v>
      </c>
      <c r="T153" s="59">
        <f t="shared" si="142"/>
        <v>272.97841038165217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-1.3567387213697657E-13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281.79835088425858</v>
      </c>
      <c r="AO153" s="59">
        <f t="shared" si="144"/>
        <v>345.4750813433123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343.6089004382095</v>
      </c>
      <c r="BJ153" s="59">
        <f t="shared" si="146"/>
        <v>278.21741231699929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4.4337866711430253E-14</v>
      </c>
      <c r="CA153" s="13">
        <f t="shared" si="147"/>
        <v>7.3222115536967035E-13</v>
      </c>
      <c r="CB153" s="20">
        <f t="shared" si="118"/>
        <v>1.3525069634579169E-12</v>
      </c>
      <c r="CC153" s="59">
        <f t="shared" si="119"/>
        <v>293.33333333333468</v>
      </c>
      <c r="CD153" s="59">
        <f ca="1">AVERAGE(OFFSET($CC$3,0,0,'Données projet'!$E$12+1,1))-AVERAGE(OFFSET($H$3,0,0,'Données projet'!$E$12+1,1))</f>
        <v>288.82868507674738</v>
      </c>
      <c r="CE153" s="59">
        <f t="shared" si="148"/>
        <v>283.48738729114024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0.11255739915118038</v>
      </c>
      <c r="CM153" s="21">
        <f>EXP(-LN(2)/2)*CM152+(1-EXP(-LN(2)/2))/(LN(2)/2)*CG153*CJ153*VLOOKUP('Données projet'!$B$12,Paramètres!$A$1:$I$89,3,0)*0.475*44/12</f>
        <v>2.8363660693862314E-18</v>
      </c>
      <c r="CN153" s="22">
        <f t="shared" si="120"/>
        <v>0.11255739915118038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-5.6843418860808015E-14</v>
      </c>
      <c r="CU153" s="17">
        <f>CT153*VLOOKUP('Données projet'!$B$13,Paramètres!$A$1:$I$89,3,0)*VLOOKUP('Données projet'!$B$13,Paramètres!$A$1:$I$89,5,0)</f>
        <v>-4.8771653382573282E-14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273.73158910361786</v>
      </c>
      <c r="CZ153" s="59">
        <f t="shared" si="150"/>
        <v>256.77417912163997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-3.4106051316484809E-13</v>
      </c>
      <c r="DP153" s="17">
        <f>DO153*VLOOKUP('Données projet'!$B$14,Paramètres!$A$1:$I$89,3,0)*VLOOKUP('Données projet'!$B$14,Paramètres!$A$1:$I$89,5,0)</f>
        <v>-1.9065282685915009E-13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534.78683721545372</v>
      </c>
      <c r="DU153" s="59">
        <f t="shared" si="152"/>
        <v>710.59298755711075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0.50758036056191513</v>
      </c>
      <c r="EB153" s="21">
        <f>EXP(-LN(2)/25)*EB152+(1-EXP(-LN(2)/25))/(LN(2)/25)*Calculateur!DW153*Calculateur!DY153*VLOOKUP('Données projet'!$B$14,Paramètres!$A$1:$I$89,3,0)*0.475*44/12</f>
        <v>0.86845440522744644</v>
      </c>
      <c r="EC153" s="21">
        <f>EXP(-LN(2)/2)*EC152+(1-EXP(-LN(2)/2))/(LN(2)/2)*DW153*DZ153*VLOOKUP('Données projet'!$B$14,Paramètres!$A$1:$I$89,3,0)*0.475*44/12</f>
        <v>1.0147844415196993E-17</v>
      </c>
      <c r="ED153" s="22">
        <f t="shared" si="126"/>
        <v>1.3760347657893615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5.6843418860808015E-14</v>
      </c>
      <c r="EK153" s="17">
        <f>EJ153*VLOOKUP('Données projet'!$B$15,Paramètres!$A$1:$I$89,3,0)*VLOOKUP('Données projet'!$B$15,Paramètres!$A$1:$I$89,5,0)</f>
        <v>4.9658410716801891E-14</v>
      </c>
      <c r="EL153" s="13">
        <f t="shared" si="153"/>
        <v>8.0934058173791862E-13</v>
      </c>
      <c r="EM153" s="20">
        <f t="shared" si="127"/>
        <v>1.4960899118586383E-12</v>
      </c>
      <c r="EN153" s="59">
        <f t="shared" si="128"/>
        <v>293.33333333333479</v>
      </c>
      <c r="EO153" s="59">
        <f ca="1">AVERAGE(OFFSET($EN$3,0,0,'Données projet'!$E$15+1,1))-AVERAGE(OFFSET($H$3,0,0,'Données projet'!$E$15+1,1))</f>
        <v>255.2813753128475</v>
      </c>
      <c r="EP153" s="59">
        <f t="shared" si="154"/>
        <v>317.03005098025352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0.52388660683501576</v>
      </c>
      <c r="EW153" s="21">
        <f>EXP(-LN(2)/25)*EW152+(1-EXP(-LN(2)/25))/(LN(2)/25)*Calculateur!ER153*Calculateur!ET153*VLOOKUP('Données projet'!$B$15,Paramètres!$A$1:$I$89,3,0)*0.475*44/12</f>
        <v>0.63305616610319182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1.1569427729382076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1.7053025658242404E-13</v>
      </c>
      <c r="O154" s="13">
        <f>N154*VLOOKUP('Données projet'!$B$9,Paramètres!$A$1:$I$89,3,0)*VLOOKUP('Données projet'!$B$9,Paramètres!$A$1:$I$89,5,0)</f>
        <v>1.250327841262333E-13</v>
      </c>
      <c r="P154" s="13">
        <f t="shared" si="141"/>
        <v>1.8301318724634299E-12</v>
      </c>
      <c r="Q154" s="20">
        <f t="shared" ref="Q154:Q203" si="162">(O154+P154)*0.475*44/12</f>
        <v>3.405245110226996E-12</v>
      </c>
      <c r="R154" s="59">
        <f t="shared" si="109"/>
        <v>293.33333333333672</v>
      </c>
      <c r="S154" s="59">
        <f ca="1">AVERAGE(OFFSET($R$3,0,0,'Données projet'!$E$9+1,1))-AVERAGE(OFFSET($H$3,0,0,'Données projet'!$E$9+1,1))</f>
        <v>193.60868637458515</v>
      </c>
      <c r="T154" s="59">
        <f t="shared" si="142"/>
        <v>272.97841038165217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-1.3567387213697657E-13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281.79835088425858</v>
      </c>
      <c r="AO154" s="59">
        <f t="shared" si="144"/>
        <v>345.4750813433123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343.6089004382095</v>
      </c>
      <c r="BJ154" s="59">
        <f t="shared" si="146"/>
        <v>278.21741231699929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4.4337866711430253E-14</v>
      </c>
      <c r="CA154" s="13">
        <f t="shared" ref="CA154:CA203" si="170">EXP(-1.0587+0.8836*LN(BZ154)+0.284)</f>
        <v>7.3222115536967035E-13</v>
      </c>
      <c r="CB154" s="20">
        <f t="shared" ref="CB154:CB203" si="171">(BZ154+CA154)*0.475*44/12</f>
        <v>1.3525069634579169E-12</v>
      </c>
      <c r="CC154" s="59">
        <f t="shared" si="119"/>
        <v>293.33333333333468</v>
      </c>
      <c r="CD154" s="59">
        <f ca="1">AVERAGE(OFFSET($CC$3,0,0,'Données projet'!$E$12+1,1))-AVERAGE(OFFSET($H$3,0,0,'Données projet'!$E$12+1,1))</f>
        <v>288.82868507674738</v>
      </c>
      <c r="CE154" s="59">
        <f t="shared" si="148"/>
        <v>283.48738729114024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0.10947951115225497</v>
      </c>
      <c r="CM154" s="21">
        <f>EXP(-LN(2)/2)*CM153+(1-EXP(-LN(2)/2))/(LN(2)/2)*CG154*CJ154*VLOOKUP('Données projet'!$B$12,Paramètres!$A$1:$I$89,3,0)*0.475*44/12</f>
        <v>2.0056136815904378E-18</v>
      </c>
      <c r="CN154" s="22">
        <f t="shared" ref="CN154:CN203" si="172">SUM(CK154:CM154)</f>
        <v>0.10947951115225497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-5.6843418860808015E-14</v>
      </c>
      <c r="CU154" s="17">
        <f>CT154*VLOOKUP('Données projet'!$B$13,Paramètres!$A$1:$I$89,3,0)*VLOOKUP('Données projet'!$B$13,Paramètres!$A$1:$I$89,5,0)</f>
        <v>-4.8771653382573282E-14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273.73158910361786</v>
      </c>
      <c r="CZ154" s="59">
        <f t="shared" si="150"/>
        <v>256.77417912163997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-3.4106051316484809E-13</v>
      </c>
      <c r="DP154" s="17">
        <f>DO154*VLOOKUP('Données projet'!$B$14,Paramètres!$A$1:$I$89,3,0)*VLOOKUP('Données projet'!$B$14,Paramètres!$A$1:$I$89,5,0)</f>
        <v>-1.9065282685915009E-13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534.78683721545372</v>
      </c>
      <c r="DU154" s="59">
        <f t="shared" si="152"/>
        <v>710.59298755711075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0.49762701928474612</v>
      </c>
      <c r="EB154" s="21">
        <f>EXP(-LN(2)/25)*EB153+(1-EXP(-LN(2)/25))/(LN(2)/25)*Calculateur!DW154*Calculateur!DY154*VLOOKUP('Données projet'!$B$14,Paramètres!$A$1:$I$89,3,0)*0.475*44/12</f>
        <v>0.84470647384646957</v>
      </c>
      <c r="EC154" s="21">
        <f>EXP(-LN(2)/2)*EC153+(1-EXP(-LN(2)/2))/(LN(2)/2)*DW154*DZ154*VLOOKUP('Données projet'!$B$14,Paramètres!$A$1:$I$89,3,0)*0.475*44/12</f>
        <v>7.1756096004118287E-18</v>
      </c>
      <c r="ED154" s="22">
        <f t="shared" ref="ED154:ED203" si="178">SUM(EA154:EC154)</f>
        <v>1.3423334931312156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5.6843418860808015E-14</v>
      </c>
      <c r="EK154" s="17">
        <f>EJ154*VLOOKUP('Données projet'!$B$15,Paramètres!$A$1:$I$89,3,0)*VLOOKUP('Données projet'!$B$15,Paramètres!$A$1:$I$89,5,0)</f>
        <v>4.9658410716801891E-14</v>
      </c>
      <c r="EL154" s="13">
        <f t="shared" ref="EL154:EL203" si="179">EXP(-1.0587+0.8836*LN(EK154)+0.284)</f>
        <v>8.0934058173791862E-13</v>
      </c>
      <c r="EM154" s="20">
        <f t="shared" ref="EM154:EM203" si="180">(EK154+EL154)*0.475*44/12</f>
        <v>1.4960899118586383E-12</v>
      </c>
      <c r="EN154" s="59">
        <f t="shared" si="128"/>
        <v>293.33333333333479</v>
      </c>
      <c r="EO154" s="59">
        <f ca="1">AVERAGE(OFFSET($EN$3,0,0,'Données projet'!$E$15+1,1))-AVERAGE(OFFSET($H$3,0,0,'Données projet'!$E$15+1,1))</f>
        <v>255.2813753128475</v>
      </c>
      <c r="EP154" s="59">
        <f t="shared" si="154"/>
        <v>317.03005098025352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0.51361351001425937</v>
      </c>
      <c r="EW154" s="21">
        <f>EXP(-LN(2)/25)*EW153+(1-EXP(-LN(2)/25))/(LN(2)/25)*Calculateur!ER154*Calculateur!ET154*VLOOKUP('Données projet'!$B$15,Paramètres!$A$1:$I$89,3,0)*0.475*44/12</f>
        <v>0.61574521195012311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1.1293587219643824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1.7053025658242404E-13</v>
      </c>
      <c r="O155" s="13">
        <f>N155*VLOOKUP('Données projet'!$B$9,Paramètres!$A$1:$I$89,3,0)*VLOOKUP('Données projet'!$B$9,Paramètres!$A$1:$I$89,5,0)</f>
        <v>1.250327841262333E-13</v>
      </c>
      <c r="P155" s="13">
        <f t="shared" si="141"/>
        <v>1.8301318724634299E-12</v>
      </c>
      <c r="Q155" s="20">
        <f t="shared" si="162"/>
        <v>3.405245110226996E-12</v>
      </c>
      <c r="R155" s="59">
        <f t="shared" si="109"/>
        <v>293.33333333333672</v>
      </c>
      <c r="S155" s="59">
        <f ca="1">AVERAGE(OFFSET($R$3,0,0,'Données projet'!$E$9+1,1))-AVERAGE(OFFSET($H$3,0,0,'Données projet'!$E$9+1,1))</f>
        <v>193.60868637458515</v>
      </c>
      <c r="T155" s="59">
        <f t="shared" si="142"/>
        <v>272.97841038165217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-1.3567387213697657E-13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281.79835088425858</v>
      </c>
      <c r="AO155" s="59">
        <f t="shared" si="144"/>
        <v>345.4750813433123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343.6089004382095</v>
      </c>
      <c r="BJ155" s="59">
        <f t="shared" si="146"/>
        <v>278.21741231699929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4.4337866711430253E-14</v>
      </c>
      <c r="CA155" s="13">
        <f t="shared" si="170"/>
        <v>7.3222115536967035E-13</v>
      </c>
      <c r="CB155" s="20">
        <f t="shared" si="171"/>
        <v>1.3525069634579169E-12</v>
      </c>
      <c r="CC155" s="59">
        <f t="shared" si="119"/>
        <v>293.33333333333468</v>
      </c>
      <c r="CD155" s="59">
        <f ca="1">AVERAGE(OFFSET($CC$3,0,0,'Données projet'!$E$12+1,1))-AVERAGE(OFFSET($H$3,0,0,'Données projet'!$E$12+1,1))</f>
        <v>288.82868507674738</v>
      </c>
      <c r="CE155" s="59">
        <f t="shared" si="148"/>
        <v>283.48738729114024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0.10648578816251929</v>
      </c>
      <c r="CM155" s="21">
        <f>EXP(-LN(2)/2)*CM154+(1-EXP(-LN(2)/2))/(LN(2)/2)*CG155*CJ155*VLOOKUP('Données projet'!$B$12,Paramètres!$A$1:$I$89,3,0)*0.475*44/12</f>
        <v>1.4181830346931157E-18</v>
      </c>
      <c r="CN155" s="22">
        <f t="shared" si="172"/>
        <v>0.10648578816251929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-5.6843418860808015E-14</v>
      </c>
      <c r="CU155" s="17">
        <f>CT155*VLOOKUP('Données projet'!$B$13,Paramètres!$A$1:$I$89,3,0)*VLOOKUP('Données projet'!$B$13,Paramètres!$A$1:$I$89,5,0)</f>
        <v>-4.8771653382573282E-14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273.73158910361786</v>
      </c>
      <c r="CZ155" s="59">
        <f t="shared" si="150"/>
        <v>256.77417912163997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-3.4106051316484809E-13</v>
      </c>
      <c r="DP155" s="17">
        <f>DO155*VLOOKUP('Données projet'!$B$14,Paramètres!$A$1:$I$89,3,0)*VLOOKUP('Données projet'!$B$14,Paramètres!$A$1:$I$89,5,0)</f>
        <v>-1.9065282685915009E-13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534.78683721545372</v>
      </c>
      <c r="DU155" s="59">
        <f t="shared" si="152"/>
        <v>710.59298755711075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0.48786885695908366</v>
      </c>
      <c r="EB155" s="21">
        <f>EXP(-LN(2)/25)*EB154+(1-EXP(-LN(2)/25))/(LN(2)/25)*Calculateur!DW155*Calculateur!DY155*VLOOKUP('Données projet'!$B$14,Paramètres!$A$1:$I$89,3,0)*0.475*44/12</f>
        <v>0.82160793089795503</v>
      </c>
      <c r="EC155" s="21">
        <f>EXP(-LN(2)/2)*EC154+(1-EXP(-LN(2)/2))/(LN(2)/2)*DW155*DZ155*VLOOKUP('Données projet'!$B$14,Paramètres!$A$1:$I$89,3,0)*0.475*44/12</f>
        <v>5.0739222075984967E-18</v>
      </c>
      <c r="ED155" s="22">
        <f t="shared" si="178"/>
        <v>1.3094767878570388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5.6843418860808015E-14</v>
      </c>
      <c r="EK155" s="17">
        <f>EJ155*VLOOKUP('Données projet'!$B$15,Paramètres!$A$1:$I$89,3,0)*VLOOKUP('Données projet'!$B$15,Paramètres!$A$1:$I$89,5,0)</f>
        <v>4.9658410716801891E-14</v>
      </c>
      <c r="EL155" s="13">
        <f t="shared" si="179"/>
        <v>8.0934058173791862E-13</v>
      </c>
      <c r="EM155" s="20">
        <f t="shared" si="180"/>
        <v>1.4960899118586383E-12</v>
      </c>
      <c r="EN155" s="59">
        <f t="shared" si="128"/>
        <v>293.33333333333479</v>
      </c>
      <c r="EO155" s="59">
        <f ca="1">AVERAGE(OFFSET($EN$3,0,0,'Données projet'!$E$15+1,1))-AVERAGE(OFFSET($H$3,0,0,'Données projet'!$E$15+1,1))</f>
        <v>255.2813753128475</v>
      </c>
      <c r="EP155" s="59">
        <f t="shared" si="154"/>
        <v>317.03005098025352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0.5035418623561877</v>
      </c>
      <c r="EW155" s="21">
        <f>EXP(-LN(2)/25)*EW154+(1-EXP(-LN(2)/25))/(LN(2)/25)*Calculateur!ER155*Calculateur!ET155*VLOOKUP('Données projet'!$B$15,Paramètres!$A$1:$I$89,3,0)*0.475*44/12</f>
        <v>0.59890762674871356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1.1024494891049013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1.7053025658242404E-13</v>
      </c>
      <c r="O156" s="13">
        <f>N156*VLOOKUP('Données projet'!$B$9,Paramètres!$A$1:$I$89,3,0)*VLOOKUP('Données projet'!$B$9,Paramètres!$A$1:$I$89,5,0)</f>
        <v>1.250327841262333E-13</v>
      </c>
      <c r="P156" s="13">
        <f t="shared" si="141"/>
        <v>1.8301318724634299E-12</v>
      </c>
      <c r="Q156" s="20">
        <f t="shared" si="162"/>
        <v>3.405245110226996E-12</v>
      </c>
      <c r="R156" s="59">
        <f t="shared" si="109"/>
        <v>293.33333333333672</v>
      </c>
      <c r="S156" s="59">
        <f ca="1">AVERAGE(OFFSET($R$3,0,0,'Données projet'!$E$9+1,1))-AVERAGE(OFFSET($H$3,0,0,'Données projet'!$E$9+1,1))</f>
        <v>193.60868637458515</v>
      </c>
      <c r="T156" s="59">
        <f t="shared" si="142"/>
        <v>272.97841038165217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-1.3567387213697657E-13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281.79835088425858</v>
      </c>
      <c r="AO156" s="59">
        <f t="shared" si="144"/>
        <v>345.4750813433123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343.6089004382095</v>
      </c>
      <c r="BJ156" s="59">
        <f t="shared" si="146"/>
        <v>278.21741231699929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4.4337866711430253E-14</v>
      </c>
      <c r="CA156" s="13">
        <f t="shared" si="170"/>
        <v>7.3222115536967035E-13</v>
      </c>
      <c r="CB156" s="20">
        <f t="shared" si="171"/>
        <v>1.3525069634579169E-12</v>
      </c>
      <c r="CC156" s="59">
        <f t="shared" si="119"/>
        <v>293.33333333333468</v>
      </c>
      <c r="CD156" s="59">
        <f ca="1">AVERAGE(OFFSET($CC$3,0,0,'Données projet'!$E$12+1,1))-AVERAGE(OFFSET($H$3,0,0,'Données projet'!$E$12+1,1))</f>
        <v>288.82868507674738</v>
      </c>
      <c r="CE156" s="59">
        <f t="shared" si="148"/>
        <v>283.48738729114024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0.10357392868537098</v>
      </c>
      <c r="CM156" s="21">
        <f>EXP(-LN(2)/2)*CM155+(1-EXP(-LN(2)/2))/(LN(2)/2)*CG156*CJ156*VLOOKUP('Données projet'!$B$12,Paramètres!$A$1:$I$89,3,0)*0.475*44/12</f>
        <v>1.0028068407952189E-18</v>
      </c>
      <c r="CN156" s="22">
        <f t="shared" si="172"/>
        <v>0.10357392868537098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-5.6843418860808015E-14</v>
      </c>
      <c r="CU156" s="17">
        <f>CT156*VLOOKUP('Données projet'!$B$13,Paramètres!$A$1:$I$89,3,0)*VLOOKUP('Données projet'!$B$13,Paramètres!$A$1:$I$89,5,0)</f>
        <v>-4.8771653382573282E-14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273.73158910361786</v>
      </c>
      <c r="CZ156" s="59">
        <f t="shared" si="150"/>
        <v>256.77417912163997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-3.4106051316484809E-13</v>
      </c>
      <c r="DP156" s="17">
        <f>DO156*VLOOKUP('Données projet'!$B$14,Paramètres!$A$1:$I$89,3,0)*VLOOKUP('Données projet'!$B$14,Paramètres!$A$1:$I$89,5,0)</f>
        <v>-1.9065282685915009E-13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534.78683721545372</v>
      </c>
      <c r="DU156" s="59">
        <f t="shared" si="152"/>
        <v>710.59298755711075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0.4783020462447361</v>
      </c>
      <c r="EB156" s="21">
        <f>EXP(-LN(2)/25)*EB155+(1-EXP(-LN(2)/25))/(LN(2)/25)*Calculateur!DW156*Calculateur!DY156*VLOOKUP('Données projet'!$B$14,Paramètres!$A$1:$I$89,3,0)*0.475*44/12</f>
        <v>0.79914101882106714</v>
      </c>
      <c r="EC156" s="21">
        <f>EXP(-LN(2)/2)*EC155+(1-EXP(-LN(2)/2))/(LN(2)/2)*DW156*DZ156*VLOOKUP('Données projet'!$B$14,Paramètres!$A$1:$I$89,3,0)*0.475*44/12</f>
        <v>3.5878048002059144E-18</v>
      </c>
      <c r="ED156" s="22">
        <f t="shared" si="178"/>
        <v>1.2774430650658033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5.6843418860808015E-14</v>
      </c>
      <c r="EK156" s="17">
        <f>EJ156*VLOOKUP('Données projet'!$B$15,Paramètres!$A$1:$I$89,3,0)*VLOOKUP('Données projet'!$B$15,Paramètres!$A$1:$I$89,5,0)</f>
        <v>4.9658410716801891E-14</v>
      </c>
      <c r="EL156" s="13">
        <f t="shared" si="179"/>
        <v>8.0934058173791862E-13</v>
      </c>
      <c r="EM156" s="20">
        <f t="shared" si="180"/>
        <v>1.4960899118586383E-12</v>
      </c>
      <c r="EN156" s="59">
        <f t="shared" si="128"/>
        <v>293.33333333333479</v>
      </c>
      <c r="EO156" s="59">
        <f ca="1">AVERAGE(OFFSET($EN$3,0,0,'Données projet'!$E$15+1,1))-AVERAGE(OFFSET($H$3,0,0,'Données projet'!$E$15+1,1))</f>
        <v>255.2813753128475</v>
      </c>
      <c r="EP156" s="59">
        <f t="shared" si="154"/>
        <v>317.03005098025352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0.4936677135655923</v>
      </c>
      <c r="EW156" s="21">
        <f>EXP(-LN(2)/25)*EW155+(1-EXP(-LN(2)/25))/(LN(2)/25)*Calculateur!ER156*Calculateur!ET156*VLOOKUP('Données projet'!$B$15,Paramètres!$A$1:$I$89,3,0)*0.475*44/12</f>
        <v>0.58253046620008675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1.076198179765679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1.7053025658242404E-13</v>
      </c>
      <c r="O157" s="13">
        <f>N157*VLOOKUP('Données projet'!$B$9,Paramètres!$A$1:$I$89,3,0)*VLOOKUP('Données projet'!$B$9,Paramètres!$A$1:$I$89,5,0)</f>
        <v>1.250327841262333E-13</v>
      </c>
      <c r="P157" s="13">
        <f t="shared" si="141"/>
        <v>1.8301318724634299E-12</v>
      </c>
      <c r="Q157" s="20">
        <f t="shared" si="162"/>
        <v>3.405245110226996E-12</v>
      </c>
      <c r="R157" s="59">
        <f t="shared" si="109"/>
        <v>293.33333333333672</v>
      </c>
      <c r="S157" s="59">
        <f ca="1">AVERAGE(OFFSET($R$3,0,0,'Données projet'!$E$9+1,1))-AVERAGE(OFFSET($H$3,0,0,'Données projet'!$E$9+1,1))</f>
        <v>193.60868637458515</v>
      </c>
      <c r="T157" s="59">
        <f t="shared" si="142"/>
        <v>272.97841038165217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-1.3567387213697657E-13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281.79835088425858</v>
      </c>
      <c r="AO157" s="59">
        <f t="shared" si="144"/>
        <v>345.4750813433123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343.6089004382095</v>
      </c>
      <c r="BJ157" s="59">
        <f t="shared" si="146"/>
        <v>278.21741231699929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4.4337866711430253E-14</v>
      </c>
      <c r="CA157" s="13">
        <f t="shared" si="170"/>
        <v>7.3222115536967035E-13</v>
      </c>
      <c r="CB157" s="20">
        <f t="shared" si="171"/>
        <v>1.3525069634579169E-12</v>
      </c>
      <c r="CC157" s="59">
        <f t="shared" si="119"/>
        <v>293.33333333333468</v>
      </c>
      <c r="CD157" s="59">
        <f ca="1">AVERAGE(OFFSET($CC$3,0,0,'Données projet'!$E$12+1,1))-AVERAGE(OFFSET($H$3,0,0,'Données projet'!$E$12+1,1))</f>
        <v>288.82868507674738</v>
      </c>
      <c r="CE157" s="59">
        <f t="shared" si="148"/>
        <v>283.48738729114024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0.10074169415875332</v>
      </c>
      <c r="CM157" s="21">
        <f>EXP(-LN(2)/2)*CM156+(1-EXP(-LN(2)/2))/(LN(2)/2)*CG157*CJ157*VLOOKUP('Données projet'!$B$12,Paramètres!$A$1:$I$89,3,0)*0.475*44/12</f>
        <v>7.0909151734655784E-19</v>
      </c>
      <c r="CN157" s="22">
        <f t="shared" si="172"/>
        <v>0.10074169415875332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-5.6843418860808015E-14</v>
      </c>
      <c r="CU157" s="17">
        <f>CT157*VLOOKUP('Données projet'!$B$13,Paramètres!$A$1:$I$89,3,0)*VLOOKUP('Données projet'!$B$13,Paramètres!$A$1:$I$89,5,0)</f>
        <v>-4.8771653382573282E-14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273.73158910361786</v>
      </c>
      <c r="CZ157" s="59">
        <f t="shared" si="150"/>
        <v>256.77417912163997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-3.4106051316484809E-13</v>
      </c>
      <c r="DP157" s="17">
        <f>DO157*VLOOKUP('Données projet'!$B$14,Paramètres!$A$1:$I$89,3,0)*VLOOKUP('Données projet'!$B$14,Paramètres!$A$1:$I$89,5,0)</f>
        <v>-1.9065282685915009E-13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534.78683721545372</v>
      </c>
      <c r="DU157" s="59">
        <f t="shared" si="152"/>
        <v>710.59298755711075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0.46892283485331854</v>
      </c>
      <c r="EB157" s="21">
        <f>EXP(-LN(2)/25)*EB156+(1-EXP(-LN(2)/25))/(LN(2)/25)*Calculateur!DW157*Calculateur!DY157*VLOOKUP('Données projet'!$B$14,Paramètres!$A$1:$I$89,3,0)*0.475*44/12</f>
        <v>0.7772884656364053</v>
      </c>
      <c r="EC157" s="21">
        <f>EXP(-LN(2)/2)*EC156+(1-EXP(-LN(2)/2))/(LN(2)/2)*DW157*DZ157*VLOOKUP('Données projet'!$B$14,Paramètres!$A$1:$I$89,3,0)*0.475*44/12</f>
        <v>2.5369611037992484E-18</v>
      </c>
      <c r="ED157" s="22">
        <f t="shared" si="178"/>
        <v>1.2462113004897239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5.6843418860808015E-14</v>
      </c>
      <c r="EK157" s="17">
        <f>EJ157*VLOOKUP('Données projet'!$B$15,Paramètres!$A$1:$I$89,3,0)*VLOOKUP('Données projet'!$B$15,Paramètres!$A$1:$I$89,5,0)</f>
        <v>4.9658410716801891E-14</v>
      </c>
      <c r="EL157" s="13">
        <f t="shared" si="179"/>
        <v>8.0934058173791862E-13</v>
      </c>
      <c r="EM157" s="20">
        <f t="shared" si="180"/>
        <v>1.4960899118586383E-12</v>
      </c>
      <c r="EN157" s="59">
        <f t="shared" si="128"/>
        <v>293.33333333333479</v>
      </c>
      <c r="EO157" s="59">
        <f ca="1">AVERAGE(OFFSET($EN$3,0,0,'Données projet'!$E$15+1,1))-AVERAGE(OFFSET($H$3,0,0,'Données projet'!$E$15+1,1))</f>
        <v>255.2813753128475</v>
      </c>
      <c r="EP157" s="59">
        <f t="shared" si="154"/>
        <v>317.03005098025352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0.48398719081014441</v>
      </c>
      <c r="EW157" s="21">
        <f>EXP(-LN(2)/25)*EW156+(1-EXP(-LN(2)/25))/(LN(2)/25)*Calculateur!ER157*Calculateur!ET157*VLOOKUP('Données projet'!$B$15,Paramètres!$A$1:$I$89,3,0)*0.475*44/12</f>
        <v>0.56660113996789951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1.0505883307780439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1.7053025658242404E-13</v>
      </c>
      <c r="O158" s="13">
        <f>N158*VLOOKUP('Données projet'!$B$9,Paramètres!$A$1:$I$89,3,0)*VLOOKUP('Données projet'!$B$9,Paramètres!$A$1:$I$89,5,0)</f>
        <v>1.250327841262333E-13</v>
      </c>
      <c r="P158" s="13">
        <f t="shared" si="141"/>
        <v>1.8301318724634299E-12</v>
      </c>
      <c r="Q158" s="20">
        <f t="shared" si="162"/>
        <v>3.405245110226996E-12</v>
      </c>
      <c r="R158" s="59">
        <f t="shared" si="109"/>
        <v>293.33333333333672</v>
      </c>
      <c r="S158" s="59">
        <f ca="1">AVERAGE(OFFSET($R$3,0,0,'Données projet'!$E$9+1,1))-AVERAGE(OFFSET($H$3,0,0,'Données projet'!$E$9+1,1))</f>
        <v>193.60868637458515</v>
      </c>
      <c r="T158" s="59">
        <f t="shared" si="142"/>
        <v>272.97841038165217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-1.3567387213697657E-13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281.79835088425858</v>
      </c>
      <c r="AO158" s="59">
        <f t="shared" si="144"/>
        <v>345.4750813433123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343.6089004382095</v>
      </c>
      <c r="BJ158" s="59">
        <f t="shared" si="146"/>
        <v>278.21741231699929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4.4337866711430253E-14</v>
      </c>
      <c r="CA158" s="13">
        <f t="shared" si="170"/>
        <v>7.3222115536967035E-13</v>
      </c>
      <c r="CB158" s="20">
        <f t="shared" si="171"/>
        <v>1.3525069634579169E-12</v>
      </c>
      <c r="CC158" s="59">
        <f t="shared" si="119"/>
        <v>293.33333333333468</v>
      </c>
      <c r="CD158" s="59">
        <f ca="1">AVERAGE(OFFSET($CC$3,0,0,'Données projet'!$E$12+1,1))-AVERAGE(OFFSET($H$3,0,0,'Données projet'!$E$12+1,1))</f>
        <v>288.82868507674738</v>
      </c>
      <c r="CE158" s="59">
        <f t="shared" si="148"/>
        <v>283.48738729114024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9.7986907234206763E-2</v>
      </c>
      <c r="CM158" s="21">
        <f>EXP(-LN(2)/2)*CM157+(1-EXP(-LN(2)/2))/(LN(2)/2)*CG158*CJ158*VLOOKUP('Données projet'!$B$12,Paramètres!$A$1:$I$89,3,0)*0.475*44/12</f>
        <v>5.0140342039760944E-19</v>
      </c>
      <c r="CN158" s="22">
        <f t="shared" si="172"/>
        <v>9.7986907234206763E-2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-5.6843418860808015E-14</v>
      </c>
      <c r="CU158" s="17">
        <f>CT158*VLOOKUP('Données projet'!$B$13,Paramètres!$A$1:$I$89,3,0)*VLOOKUP('Données projet'!$B$13,Paramètres!$A$1:$I$89,5,0)</f>
        <v>-4.8771653382573282E-14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273.73158910361786</v>
      </c>
      <c r="CZ158" s="59">
        <f t="shared" si="150"/>
        <v>256.77417912163997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-3.4106051316484809E-13</v>
      </c>
      <c r="DP158" s="17">
        <f>DO158*VLOOKUP('Données projet'!$B$14,Paramètres!$A$1:$I$89,3,0)*VLOOKUP('Données projet'!$B$14,Paramètres!$A$1:$I$89,5,0)</f>
        <v>-1.9065282685915009E-13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534.78683721545372</v>
      </c>
      <c r="DU158" s="59">
        <f t="shared" si="152"/>
        <v>710.59298755711075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0.4597275440765326</v>
      </c>
      <c r="EB158" s="21">
        <f>EXP(-LN(2)/25)*EB157+(1-EXP(-LN(2)/25))/(LN(2)/25)*Calculateur!DW158*Calculateur!DY158*VLOOKUP('Données projet'!$B$14,Paramètres!$A$1:$I$89,3,0)*0.475*44/12</f>
        <v>0.75603347166775392</v>
      </c>
      <c r="EC158" s="21">
        <f>EXP(-LN(2)/2)*EC157+(1-EXP(-LN(2)/2))/(LN(2)/2)*DW158*DZ158*VLOOKUP('Données projet'!$B$14,Paramètres!$A$1:$I$89,3,0)*0.475*44/12</f>
        <v>1.7939024001029572E-18</v>
      </c>
      <c r="ED158" s="22">
        <f t="shared" si="178"/>
        <v>1.2157610157442864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5.6843418860808015E-14</v>
      </c>
      <c r="EK158" s="17">
        <f>EJ158*VLOOKUP('Données projet'!$B$15,Paramètres!$A$1:$I$89,3,0)*VLOOKUP('Données projet'!$B$15,Paramètres!$A$1:$I$89,5,0)</f>
        <v>4.9658410716801891E-14</v>
      </c>
      <c r="EL158" s="13">
        <f t="shared" si="179"/>
        <v>8.0934058173791862E-13</v>
      </c>
      <c r="EM158" s="20">
        <f t="shared" si="180"/>
        <v>1.4960899118586383E-12</v>
      </c>
      <c r="EN158" s="59">
        <f t="shared" si="128"/>
        <v>293.33333333333479</v>
      </c>
      <c r="EO158" s="59">
        <f ca="1">AVERAGE(OFFSET($EN$3,0,0,'Données projet'!$E$15+1,1))-AVERAGE(OFFSET($H$3,0,0,'Données projet'!$E$15+1,1))</f>
        <v>255.2813753128475</v>
      </c>
      <c r="EP158" s="59">
        <f t="shared" si="154"/>
        <v>317.03005098025352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0.47449649720139497</v>
      </c>
      <c r="EW158" s="21">
        <f>EXP(-LN(2)/25)*EW157+(1-EXP(-LN(2)/25))/(LN(2)/25)*Calculateur!ER158*Calculateur!ET158*VLOOKUP('Données projet'!$B$15,Paramètres!$A$1:$I$89,3,0)*0.475*44/12</f>
        <v>0.55110740199921837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1.0256038992006133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1.7053025658242404E-13</v>
      </c>
      <c r="O159" s="13">
        <f>N159*VLOOKUP('Données projet'!$B$9,Paramètres!$A$1:$I$89,3,0)*VLOOKUP('Données projet'!$B$9,Paramètres!$A$1:$I$89,5,0)</f>
        <v>1.250327841262333E-13</v>
      </c>
      <c r="P159" s="13">
        <f t="shared" si="141"/>
        <v>1.8301318724634299E-12</v>
      </c>
      <c r="Q159" s="20">
        <f t="shared" si="162"/>
        <v>3.405245110226996E-12</v>
      </c>
      <c r="R159" s="59">
        <f t="shared" si="109"/>
        <v>293.33333333333672</v>
      </c>
      <c r="S159" s="59">
        <f ca="1">AVERAGE(OFFSET($R$3,0,0,'Données projet'!$E$9+1,1))-AVERAGE(OFFSET($H$3,0,0,'Données projet'!$E$9+1,1))</f>
        <v>193.60868637458515</v>
      </c>
      <c r="T159" s="59">
        <f t="shared" si="142"/>
        <v>272.97841038165217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-1.3567387213697657E-13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281.79835088425858</v>
      </c>
      <c r="AO159" s="59">
        <f t="shared" si="144"/>
        <v>345.4750813433123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343.6089004382095</v>
      </c>
      <c r="BJ159" s="59">
        <f t="shared" si="146"/>
        <v>278.21741231699929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4.4337866711430253E-14</v>
      </c>
      <c r="CA159" s="13">
        <f t="shared" si="170"/>
        <v>7.3222115536967035E-13</v>
      </c>
      <c r="CB159" s="20">
        <f t="shared" si="171"/>
        <v>1.3525069634579169E-12</v>
      </c>
      <c r="CC159" s="59">
        <f t="shared" si="119"/>
        <v>293.33333333333468</v>
      </c>
      <c r="CD159" s="59">
        <f ca="1">AVERAGE(OFFSET($CC$3,0,0,'Données projet'!$E$12+1,1))-AVERAGE(OFFSET($H$3,0,0,'Données projet'!$E$12+1,1))</f>
        <v>288.82868507674738</v>
      </c>
      <c r="CE159" s="59">
        <f t="shared" si="148"/>
        <v>283.48738729114024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9.5307450102979877E-2</v>
      </c>
      <c r="CM159" s="21">
        <f>EXP(-LN(2)/2)*CM158+(1-EXP(-LN(2)/2))/(LN(2)/2)*CG159*CJ159*VLOOKUP('Données projet'!$B$12,Paramètres!$A$1:$I$89,3,0)*0.475*44/12</f>
        <v>3.5454575867327892E-19</v>
      </c>
      <c r="CN159" s="22">
        <f t="shared" si="172"/>
        <v>9.5307450102979877E-2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-5.6843418860808015E-14</v>
      </c>
      <c r="CU159" s="17">
        <f>CT159*VLOOKUP('Données projet'!$B$13,Paramètres!$A$1:$I$89,3,0)*VLOOKUP('Données projet'!$B$13,Paramètres!$A$1:$I$89,5,0)</f>
        <v>-4.8771653382573282E-14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273.73158910361786</v>
      </c>
      <c r="CZ159" s="59">
        <f t="shared" si="150"/>
        <v>256.77417912163997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-3.4106051316484809E-13</v>
      </c>
      <c r="DP159" s="17">
        <f>DO159*VLOOKUP('Données projet'!$B$14,Paramètres!$A$1:$I$89,3,0)*VLOOKUP('Données projet'!$B$14,Paramètres!$A$1:$I$89,5,0)</f>
        <v>-1.9065282685915009E-13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534.78683721545372</v>
      </c>
      <c r="DU159" s="59">
        <f t="shared" si="152"/>
        <v>710.59298755711075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0.45071256734330589</v>
      </c>
      <c r="EB159" s="21">
        <f>EXP(-LN(2)/25)*EB158+(1-EXP(-LN(2)/25))/(LN(2)/25)*Calculateur!DW159*Calculateur!DY159*VLOOKUP('Données projet'!$B$14,Paramètres!$A$1:$I$89,3,0)*0.475*44/12</f>
        <v>0.73535969662692691</v>
      </c>
      <c r="EC159" s="21">
        <f>EXP(-LN(2)/2)*EC158+(1-EXP(-LN(2)/2))/(LN(2)/2)*DW159*DZ159*VLOOKUP('Données projet'!$B$14,Paramètres!$A$1:$I$89,3,0)*0.475*44/12</f>
        <v>1.2684805518996242E-18</v>
      </c>
      <c r="ED159" s="22">
        <f t="shared" si="178"/>
        <v>1.1860722639702328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5.6843418860808015E-14</v>
      </c>
      <c r="EK159" s="17">
        <f>EJ159*VLOOKUP('Données projet'!$B$15,Paramètres!$A$1:$I$89,3,0)*VLOOKUP('Données projet'!$B$15,Paramètres!$A$1:$I$89,5,0)</f>
        <v>4.9658410716801891E-14</v>
      </c>
      <c r="EL159" s="13">
        <f t="shared" si="179"/>
        <v>8.0934058173791862E-13</v>
      </c>
      <c r="EM159" s="20">
        <f t="shared" si="180"/>
        <v>1.4960899118586383E-12</v>
      </c>
      <c r="EN159" s="59">
        <f t="shared" si="128"/>
        <v>293.33333333333479</v>
      </c>
      <c r="EO159" s="59">
        <f ca="1">AVERAGE(OFFSET($EN$3,0,0,'Données projet'!$E$15+1,1))-AVERAGE(OFFSET($H$3,0,0,'Données projet'!$E$15+1,1))</f>
        <v>255.2813753128475</v>
      </c>
      <c r="EP159" s="59">
        <f t="shared" si="154"/>
        <v>317.03005098025352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0.46519191030556162</v>
      </c>
      <c r="EW159" s="21">
        <f>EXP(-LN(2)/25)*EW158+(1-EXP(-LN(2)/25))/(LN(2)/25)*Calculateur!ER159*Calculateur!ET159*VLOOKUP('Données projet'!$B$15,Paramètres!$A$1:$I$89,3,0)*0.475*44/12</f>
        <v>0.53603734111007106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1.0012292514156327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1.7053025658242404E-13</v>
      </c>
      <c r="O160" s="13">
        <f>N160*VLOOKUP('Données projet'!$B$9,Paramètres!$A$1:$I$89,3,0)*VLOOKUP('Données projet'!$B$9,Paramètres!$A$1:$I$89,5,0)</f>
        <v>1.250327841262333E-13</v>
      </c>
      <c r="P160" s="13">
        <f t="shared" si="141"/>
        <v>1.8301318724634299E-12</v>
      </c>
      <c r="Q160" s="20">
        <f t="shared" si="162"/>
        <v>3.405245110226996E-12</v>
      </c>
      <c r="R160" s="59">
        <f t="shared" si="109"/>
        <v>293.33333333333672</v>
      </c>
      <c r="S160" s="59">
        <f ca="1">AVERAGE(OFFSET($R$3,0,0,'Données projet'!$E$9+1,1))-AVERAGE(OFFSET($H$3,0,0,'Données projet'!$E$9+1,1))</f>
        <v>193.60868637458515</v>
      </c>
      <c r="T160" s="59">
        <f t="shared" si="142"/>
        <v>272.97841038165217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-1.3567387213697657E-13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281.79835088425858</v>
      </c>
      <c r="AO160" s="59">
        <f t="shared" si="144"/>
        <v>345.4750813433123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343.6089004382095</v>
      </c>
      <c r="BJ160" s="59">
        <f t="shared" si="146"/>
        <v>278.21741231699929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4.4337866711430253E-14</v>
      </c>
      <c r="CA160" s="13">
        <f t="shared" si="170"/>
        <v>7.3222115536967035E-13</v>
      </c>
      <c r="CB160" s="20">
        <f t="shared" si="171"/>
        <v>1.3525069634579169E-12</v>
      </c>
      <c r="CC160" s="59">
        <f t="shared" si="119"/>
        <v>293.33333333333468</v>
      </c>
      <c r="CD160" s="59">
        <f ca="1">AVERAGE(OFFSET($CC$3,0,0,'Données projet'!$E$12+1,1))-AVERAGE(OFFSET($H$3,0,0,'Données projet'!$E$12+1,1))</f>
        <v>288.82868507674738</v>
      </c>
      <c r="CE160" s="59">
        <f t="shared" si="148"/>
        <v>283.48738729114024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9.2701262867912915E-2</v>
      </c>
      <c r="CM160" s="21">
        <f>EXP(-LN(2)/2)*CM159+(1-EXP(-LN(2)/2))/(LN(2)/2)*CG160*CJ160*VLOOKUP('Données projet'!$B$12,Paramètres!$A$1:$I$89,3,0)*0.475*44/12</f>
        <v>2.5070171019880472E-19</v>
      </c>
      <c r="CN160" s="22">
        <f t="shared" si="172"/>
        <v>9.2701262867912915E-2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-5.6843418860808015E-14</v>
      </c>
      <c r="CU160" s="17">
        <f>CT160*VLOOKUP('Données projet'!$B$13,Paramètres!$A$1:$I$89,3,0)*VLOOKUP('Données projet'!$B$13,Paramètres!$A$1:$I$89,5,0)</f>
        <v>-4.8771653382573282E-14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273.73158910361786</v>
      </c>
      <c r="CZ160" s="59">
        <f t="shared" si="150"/>
        <v>256.77417912163997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-3.4106051316484809E-13</v>
      </c>
      <c r="DP160" s="17">
        <f>DO160*VLOOKUP('Données projet'!$B$14,Paramètres!$A$1:$I$89,3,0)*VLOOKUP('Données projet'!$B$14,Paramètres!$A$1:$I$89,5,0)</f>
        <v>-1.9065282685915009E-13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534.78683721545372</v>
      </c>
      <c r="DU160" s="59">
        <f t="shared" si="152"/>
        <v>710.59298755711075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0.4418743688052249</v>
      </c>
      <c r="EB160" s="21">
        <f>EXP(-LN(2)/25)*EB159+(1-EXP(-LN(2)/25))/(LN(2)/25)*Calculateur!DW160*Calculateur!DY160*VLOOKUP('Données projet'!$B$14,Paramètres!$A$1:$I$89,3,0)*0.475*44/12</f>
        <v>0.71525124705177778</v>
      </c>
      <c r="EC160" s="21">
        <f>EXP(-LN(2)/2)*EC159+(1-EXP(-LN(2)/2))/(LN(2)/2)*DW160*DZ160*VLOOKUP('Données projet'!$B$14,Paramètres!$A$1:$I$89,3,0)*0.475*44/12</f>
        <v>8.9695120005147859E-19</v>
      </c>
      <c r="ED160" s="22">
        <f t="shared" si="178"/>
        <v>1.1571256158570027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5.6843418860808015E-14</v>
      </c>
      <c r="EK160" s="17">
        <f>EJ160*VLOOKUP('Données projet'!$B$15,Paramètres!$A$1:$I$89,3,0)*VLOOKUP('Données projet'!$B$15,Paramètres!$A$1:$I$89,5,0)</f>
        <v>4.9658410716801891E-14</v>
      </c>
      <c r="EL160" s="13">
        <f t="shared" si="179"/>
        <v>8.0934058173791862E-13</v>
      </c>
      <c r="EM160" s="20">
        <f t="shared" si="180"/>
        <v>1.4960899118586383E-12</v>
      </c>
      <c r="EN160" s="59">
        <f t="shared" si="128"/>
        <v>293.33333333333479</v>
      </c>
      <c r="EO160" s="59">
        <f ca="1">AVERAGE(OFFSET($EN$3,0,0,'Données projet'!$E$15+1,1))-AVERAGE(OFFSET($H$3,0,0,'Données projet'!$E$15+1,1))</f>
        <v>255.2813753128475</v>
      </c>
      <c r="EP160" s="59">
        <f t="shared" si="154"/>
        <v>317.03005098025352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0.45606978068351794</v>
      </c>
      <c r="EW160" s="21">
        <f>EXP(-LN(2)/25)*EW159+(1-EXP(-LN(2)/25))/(LN(2)/25)*Calculateur!ER160*Calculateur!ET160*VLOOKUP('Données projet'!$B$15,Paramètres!$A$1:$I$89,3,0)*0.475*44/12</f>
        <v>0.52137937182843752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0.97744915251195552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1.7053025658242404E-13</v>
      </c>
      <c r="O161" s="13">
        <f>N161*VLOOKUP('Données projet'!$B$9,Paramètres!$A$1:$I$89,3,0)*VLOOKUP('Données projet'!$B$9,Paramètres!$A$1:$I$89,5,0)</f>
        <v>1.250327841262333E-13</v>
      </c>
      <c r="P161" s="13">
        <f t="shared" si="141"/>
        <v>1.8301318724634299E-12</v>
      </c>
      <c r="Q161" s="20">
        <f t="shared" si="162"/>
        <v>3.405245110226996E-12</v>
      </c>
      <c r="R161" s="59">
        <f t="shared" si="109"/>
        <v>293.33333333333672</v>
      </c>
      <c r="S161" s="59">
        <f ca="1">AVERAGE(OFFSET($R$3,0,0,'Données projet'!$E$9+1,1))-AVERAGE(OFFSET($H$3,0,0,'Données projet'!$E$9+1,1))</f>
        <v>193.60868637458515</v>
      </c>
      <c r="T161" s="59">
        <f t="shared" si="142"/>
        <v>272.97841038165217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-1.3567387213697657E-13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281.79835088425858</v>
      </c>
      <c r="AO161" s="59">
        <f t="shared" si="144"/>
        <v>345.4750813433123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343.6089004382095</v>
      </c>
      <c r="BJ161" s="59">
        <f t="shared" si="146"/>
        <v>278.21741231699929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4.4337866711430253E-14</v>
      </c>
      <c r="CA161" s="13">
        <f t="shared" si="170"/>
        <v>7.3222115536967035E-13</v>
      </c>
      <c r="CB161" s="20">
        <f t="shared" si="171"/>
        <v>1.3525069634579169E-12</v>
      </c>
      <c r="CC161" s="59">
        <f t="shared" si="119"/>
        <v>293.33333333333468</v>
      </c>
      <c r="CD161" s="59">
        <f ca="1">AVERAGE(OFFSET($CC$3,0,0,'Données projet'!$E$12+1,1))-AVERAGE(OFFSET($H$3,0,0,'Données projet'!$E$12+1,1))</f>
        <v>288.82868507674738</v>
      </c>
      <c r="CE161" s="59">
        <f t="shared" si="148"/>
        <v>283.48738729114024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9.01663419598423E-2</v>
      </c>
      <c r="CM161" s="21">
        <f>EXP(-LN(2)/2)*CM160+(1-EXP(-LN(2)/2))/(LN(2)/2)*CG161*CJ161*VLOOKUP('Données projet'!$B$12,Paramètres!$A$1:$I$89,3,0)*0.475*44/12</f>
        <v>1.7727287933663946E-19</v>
      </c>
      <c r="CN161" s="22">
        <f t="shared" si="172"/>
        <v>9.01663419598423E-2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-5.6843418860808015E-14</v>
      </c>
      <c r="CU161" s="17">
        <f>CT161*VLOOKUP('Données projet'!$B$13,Paramètres!$A$1:$I$89,3,0)*VLOOKUP('Données projet'!$B$13,Paramètres!$A$1:$I$89,5,0)</f>
        <v>-4.8771653382573282E-14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273.73158910361786</v>
      </c>
      <c r="CZ161" s="59">
        <f t="shared" si="150"/>
        <v>256.77417912163997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-3.4106051316484809E-13</v>
      </c>
      <c r="DP161" s="17">
        <f>DO161*VLOOKUP('Données projet'!$B$14,Paramètres!$A$1:$I$89,3,0)*VLOOKUP('Données projet'!$B$14,Paramètres!$A$1:$I$89,5,0)</f>
        <v>-1.9065282685915009E-13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534.78683721545372</v>
      </c>
      <c r="DU161" s="59">
        <f t="shared" si="152"/>
        <v>710.59298755711075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0.43320948194970682</v>
      </c>
      <c r="EB161" s="21">
        <f>EXP(-LN(2)/25)*EB160+(1-EXP(-LN(2)/25))/(LN(2)/25)*Calculateur!DW161*Calculateur!DY161*VLOOKUP('Données projet'!$B$14,Paramètres!$A$1:$I$89,3,0)*0.475*44/12</f>
        <v>0.69569266408771857</v>
      </c>
      <c r="EC161" s="21">
        <f>EXP(-LN(2)/2)*EC160+(1-EXP(-LN(2)/2))/(LN(2)/2)*DW161*DZ161*VLOOKUP('Données projet'!$B$14,Paramètres!$A$1:$I$89,3,0)*0.475*44/12</f>
        <v>6.3424027594981209E-19</v>
      </c>
      <c r="ED161" s="22">
        <f t="shared" si="178"/>
        <v>1.1289021460374253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5.6843418860808015E-14</v>
      </c>
      <c r="EK161" s="17">
        <f>EJ161*VLOOKUP('Données projet'!$B$15,Paramètres!$A$1:$I$89,3,0)*VLOOKUP('Données projet'!$B$15,Paramètres!$A$1:$I$89,5,0)</f>
        <v>4.9658410716801891E-14</v>
      </c>
      <c r="EL161" s="13">
        <f t="shared" si="179"/>
        <v>8.0934058173791862E-13</v>
      </c>
      <c r="EM161" s="20">
        <f t="shared" si="180"/>
        <v>1.4960899118586383E-12</v>
      </c>
      <c r="EN161" s="59">
        <f t="shared" si="128"/>
        <v>293.33333333333479</v>
      </c>
      <c r="EO161" s="59">
        <f ca="1">AVERAGE(OFFSET($EN$3,0,0,'Données projet'!$E$15+1,1))-AVERAGE(OFFSET($H$3,0,0,'Données projet'!$E$15+1,1))</f>
        <v>255.2813753128475</v>
      </c>
      <c r="EP161" s="59">
        <f t="shared" si="154"/>
        <v>317.03005098025352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0.44712653045941286</v>
      </c>
      <c r="EW161" s="21">
        <f>EXP(-LN(2)/25)*EW160+(1-EXP(-LN(2)/25))/(LN(2)/25)*Calculateur!ER161*Calculateur!ET161*VLOOKUP('Données projet'!$B$15,Paramètres!$A$1:$I$89,3,0)*0.475*44/12</f>
        <v>0.50712222548763941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0.95424875594705227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1.7053025658242404E-13</v>
      </c>
      <c r="O162" s="13">
        <f>N162*VLOOKUP('Données projet'!$B$9,Paramètres!$A$1:$I$89,3,0)*VLOOKUP('Données projet'!$B$9,Paramètres!$A$1:$I$89,5,0)</f>
        <v>1.250327841262333E-13</v>
      </c>
      <c r="P162" s="13">
        <f t="shared" si="141"/>
        <v>1.8301318724634299E-12</v>
      </c>
      <c r="Q162" s="20">
        <f t="shared" si="162"/>
        <v>3.405245110226996E-12</v>
      </c>
      <c r="R162" s="59">
        <f t="shared" si="109"/>
        <v>293.33333333333672</v>
      </c>
      <c r="S162" s="59">
        <f ca="1">AVERAGE(OFFSET($R$3,0,0,'Données projet'!$E$9+1,1))-AVERAGE(OFFSET($H$3,0,0,'Données projet'!$E$9+1,1))</f>
        <v>193.60868637458515</v>
      </c>
      <c r="T162" s="59">
        <f t="shared" si="142"/>
        <v>272.97841038165217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-1.3567387213697657E-13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281.79835088425858</v>
      </c>
      <c r="AO162" s="59">
        <f t="shared" si="144"/>
        <v>345.4750813433123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343.6089004382095</v>
      </c>
      <c r="BJ162" s="59">
        <f t="shared" si="146"/>
        <v>278.21741231699929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4.4337866711430253E-14</v>
      </c>
      <c r="CA162" s="13">
        <f t="shared" si="170"/>
        <v>7.3222115536967035E-13</v>
      </c>
      <c r="CB162" s="20">
        <f t="shared" si="171"/>
        <v>1.3525069634579169E-12</v>
      </c>
      <c r="CC162" s="59">
        <f t="shared" si="119"/>
        <v>293.33333333333468</v>
      </c>
      <c r="CD162" s="59">
        <f ca="1">AVERAGE(OFFSET($CC$3,0,0,'Données projet'!$E$12+1,1))-AVERAGE(OFFSET($H$3,0,0,'Données projet'!$E$12+1,1))</f>
        <v>288.82868507674738</v>
      </c>
      <c r="CE162" s="59">
        <f t="shared" si="148"/>
        <v>283.48738729114024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8.7700738597308564E-2</v>
      </c>
      <c r="CM162" s="21">
        <f>EXP(-LN(2)/2)*CM161+(1-EXP(-LN(2)/2))/(LN(2)/2)*CG162*CJ162*VLOOKUP('Données projet'!$B$12,Paramètres!$A$1:$I$89,3,0)*0.475*44/12</f>
        <v>1.2535085509940236E-19</v>
      </c>
      <c r="CN162" s="22">
        <f t="shared" si="172"/>
        <v>8.7700738597308564E-2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-5.6843418860808015E-14</v>
      </c>
      <c r="CU162" s="17">
        <f>CT162*VLOOKUP('Données projet'!$B$13,Paramètres!$A$1:$I$89,3,0)*VLOOKUP('Données projet'!$B$13,Paramètres!$A$1:$I$89,5,0)</f>
        <v>-4.8771653382573282E-14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273.73158910361786</v>
      </c>
      <c r="CZ162" s="59">
        <f t="shared" si="150"/>
        <v>256.77417912163997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-3.4106051316484809E-13</v>
      </c>
      <c r="DP162" s="17">
        <f>DO162*VLOOKUP('Données projet'!$B$14,Paramètres!$A$1:$I$89,3,0)*VLOOKUP('Données projet'!$B$14,Paramètres!$A$1:$I$89,5,0)</f>
        <v>-1.9065282685915009E-13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534.78683721545372</v>
      </c>
      <c r="DU162" s="59">
        <f t="shared" si="152"/>
        <v>710.59298755711075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0.42471450824036633</v>
      </c>
      <c r="EB162" s="21">
        <f>EXP(-LN(2)/25)*EB161+(1-EXP(-LN(2)/25))/(LN(2)/25)*Calculateur!DW162*Calculateur!DY162*VLOOKUP('Données projet'!$B$14,Paramètres!$A$1:$I$89,3,0)*0.475*44/12</f>
        <v>0.67666891160335274</v>
      </c>
      <c r="EC162" s="21">
        <f>EXP(-LN(2)/2)*EC161+(1-EXP(-LN(2)/2))/(LN(2)/2)*DW162*DZ162*VLOOKUP('Données projet'!$B$14,Paramètres!$A$1:$I$89,3,0)*0.475*44/12</f>
        <v>4.4847560002573929E-19</v>
      </c>
      <c r="ED162" s="22">
        <f t="shared" si="178"/>
        <v>1.1013834198437191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5.6843418860808015E-14</v>
      </c>
      <c r="EK162" s="17">
        <f>EJ162*VLOOKUP('Données projet'!$B$15,Paramètres!$A$1:$I$89,3,0)*VLOOKUP('Données projet'!$B$15,Paramètres!$A$1:$I$89,5,0)</f>
        <v>4.9658410716801891E-14</v>
      </c>
      <c r="EL162" s="13">
        <f t="shared" si="179"/>
        <v>8.0934058173791862E-13</v>
      </c>
      <c r="EM162" s="20">
        <f t="shared" si="180"/>
        <v>1.4960899118586383E-12</v>
      </c>
      <c r="EN162" s="59">
        <f t="shared" si="128"/>
        <v>293.33333333333479</v>
      </c>
      <c r="EO162" s="59">
        <f ca="1">AVERAGE(OFFSET($EN$3,0,0,'Données projet'!$E$15+1,1))-AVERAGE(OFFSET($H$3,0,0,'Données projet'!$E$15+1,1))</f>
        <v>255.2813753128475</v>
      </c>
      <c r="EP162" s="59">
        <f t="shared" si="154"/>
        <v>317.03005098025352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0.43835865191735846</v>
      </c>
      <c r="EW162" s="21">
        <f>EXP(-LN(2)/25)*EW161+(1-EXP(-LN(2)/25))/(LN(2)/25)*Calculateur!ER162*Calculateur!ET162*VLOOKUP('Données projet'!$B$15,Paramètres!$A$1:$I$89,3,0)*0.475*44/12</f>
        <v>0.49325494156328109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0.93161359348063955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1.7053025658242404E-13</v>
      </c>
      <c r="O163" s="13">
        <f>N163*VLOOKUP('Données projet'!$B$9,Paramètres!$A$1:$I$89,3,0)*VLOOKUP('Données projet'!$B$9,Paramètres!$A$1:$I$89,5,0)</f>
        <v>1.250327841262333E-13</v>
      </c>
      <c r="P163" s="13">
        <f t="shared" si="141"/>
        <v>1.8301318724634299E-12</v>
      </c>
      <c r="Q163" s="20">
        <f t="shared" si="162"/>
        <v>3.405245110226996E-12</v>
      </c>
      <c r="R163" s="59">
        <f t="shared" si="109"/>
        <v>293.33333333333672</v>
      </c>
      <c r="S163" s="59">
        <f ca="1">AVERAGE(OFFSET($R$3,0,0,'Données projet'!$E$9+1,1))-AVERAGE(OFFSET($H$3,0,0,'Données projet'!$E$9+1,1))</f>
        <v>193.60868637458515</v>
      </c>
      <c r="T163" s="59">
        <f t="shared" si="142"/>
        <v>272.97841038165217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-1.3567387213697657E-13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281.79835088425858</v>
      </c>
      <c r="AO163" s="59">
        <f t="shared" si="144"/>
        <v>345.4750813433123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343.6089004382095</v>
      </c>
      <c r="BJ163" s="59">
        <f t="shared" si="146"/>
        <v>278.21741231699929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4.4337866711430253E-14</v>
      </c>
      <c r="CA163" s="13">
        <f t="shared" si="170"/>
        <v>7.3222115536967035E-13</v>
      </c>
      <c r="CB163" s="20">
        <f t="shared" si="171"/>
        <v>1.3525069634579169E-12</v>
      </c>
      <c r="CC163" s="59">
        <f t="shared" si="119"/>
        <v>293.33333333333468</v>
      </c>
      <c r="CD163" s="59">
        <f ca="1">AVERAGE(OFFSET($CC$3,0,0,'Données projet'!$E$12+1,1))-AVERAGE(OFFSET($H$3,0,0,'Données projet'!$E$12+1,1))</f>
        <v>288.82868507674738</v>
      </c>
      <c r="CE163" s="59">
        <f t="shared" si="148"/>
        <v>283.48738729114024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8.5302557288383762E-2</v>
      </c>
      <c r="CM163" s="21">
        <f>EXP(-LN(2)/2)*CM162+(1-EXP(-LN(2)/2))/(LN(2)/2)*CG163*CJ163*VLOOKUP('Données projet'!$B$12,Paramètres!$A$1:$I$89,3,0)*0.475*44/12</f>
        <v>8.863643966831973E-20</v>
      </c>
      <c r="CN163" s="22">
        <f t="shared" si="172"/>
        <v>8.5302557288383762E-2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-5.6843418860808015E-14</v>
      </c>
      <c r="CU163" s="17">
        <f>CT163*VLOOKUP('Données projet'!$B$13,Paramètres!$A$1:$I$89,3,0)*VLOOKUP('Données projet'!$B$13,Paramètres!$A$1:$I$89,5,0)</f>
        <v>-4.8771653382573282E-14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273.73158910361786</v>
      </c>
      <c r="CZ163" s="59">
        <f t="shared" si="150"/>
        <v>256.77417912163997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-3.4106051316484809E-13</v>
      </c>
      <c r="DP163" s="17">
        <f>DO163*VLOOKUP('Données projet'!$B$14,Paramètres!$A$1:$I$89,3,0)*VLOOKUP('Données projet'!$B$14,Paramètres!$A$1:$I$89,5,0)</f>
        <v>-1.9065282685915009E-13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534.78683721545372</v>
      </c>
      <c r="DU163" s="59">
        <f t="shared" si="152"/>
        <v>710.59298755711075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0.41638611578404366</v>
      </c>
      <c r="EB163" s="21">
        <f>EXP(-LN(2)/25)*EB162+(1-EXP(-LN(2)/25))/(LN(2)/25)*Calculateur!DW163*Calculateur!DY163*VLOOKUP('Données projet'!$B$14,Paramètres!$A$1:$I$89,3,0)*0.475*44/12</f>
        <v>0.65816536463108755</v>
      </c>
      <c r="EC163" s="21">
        <f>EXP(-LN(2)/2)*EC162+(1-EXP(-LN(2)/2))/(LN(2)/2)*DW163*DZ163*VLOOKUP('Données projet'!$B$14,Paramètres!$A$1:$I$89,3,0)*0.475*44/12</f>
        <v>3.1712013797490604E-19</v>
      </c>
      <c r="ED163" s="22">
        <f t="shared" si="178"/>
        <v>1.0745514804151313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5.6843418860808015E-14</v>
      </c>
      <c r="EK163" s="17">
        <f>EJ163*VLOOKUP('Données projet'!$B$15,Paramètres!$A$1:$I$89,3,0)*VLOOKUP('Données projet'!$B$15,Paramètres!$A$1:$I$89,5,0)</f>
        <v>4.9658410716801891E-14</v>
      </c>
      <c r="EL163" s="13">
        <f t="shared" si="179"/>
        <v>8.0934058173791862E-13</v>
      </c>
      <c r="EM163" s="20">
        <f t="shared" si="180"/>
        <v>1.4960899118586383E-12</v>
      </c>
      <c r="EN163" s="59">
        <f t="shared" si="128"/>
        <v>293.33333333333479</v>
      </c>
      <c r="EO163" s="59">
        <f ca="1">AVERAGE(OFFSET($EN$3,0,0,'Données projet'!$E$15+1,1))-AVERAGE(OFFSET($H$3,0,0,'Données projet'!$E$15+1,1))</f>
        <v>255.2813753128475</v>
      </c>
      <c r="EP163" s="59">
        <f t="shared" si="154"/>
        <v>317.03005098025352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0.42976270612563588</v>
      </c>
      <c r="EW163" s="21">
        <f>EXP(-LN(2)/25)*EW162+(1-EXP(-LN(2)/25))/(LN(2)/25)*Calculateur!ER163*Calculateur!ET163*VLOOKUP('Données projet'!$B$15,Paramètres!$A$1:$I$89,3,0)*0.475*44/12</f>
        <v>0.47976685924708312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0.90952956537271901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1.7053025658242404E-13</v>
      </c>
      <c r="O164" s="13">
        <f>N164*VLOOKUP('Données projet'!$B$9,Paramètres!$A$1:$I$89,3,0)*VLOOKUP('Données projet'!$B$9,Paramètres!$A$1:$I$89,5,0)</f>
        <v>1.250327841262333E-13</v>
      </c>
      <c r="P164" s="13">
        <f t="shared" si="141"/>
        <v>1.8301318724634299E-12</v>
      </c>
      <c r="Q164" s="20">
        <f t="shared" si="162"/>
        <v>3.405245110226996E-12</v>
      </c>
      <c r="R164" s="59">
        <f t="shared" si="109"/>
        <v>293.33333333333672</v>
      </c>
      <c r="S164" s="59">
        <f ca="1">AVERAGE(OFFSET($R$3,0,0,'Données projet'!$E$9+1,1))-AVERAGE(OFFSET($H$3,0,0,'Données projet'!$E$9+1,1))</f>
        <v>193.60868637458515</v>
      </c>
      <c r="T164" s="59">
        <f t="shared" si="142"/>
        <v>272.97841038165217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-1.3567387213697657E-13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281.79835088425858</v>
      </c>
      <c r="AO164" s="59">
        <f t="shared" si="144"/>
        <v>345.4750813433123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343.6089004382095</v>
      </c>
      <c r="BJ164" s="59">
        <f t="shared" si="146"/>
        <v>278.21741231699929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4.4337866711430253E-14</v>
      </c>
      <c r="CA164" s="13">
        <f t="shared" si="170"/>
        <v>7.3222115536967035E-13</v>
      </c>
      <c r="CB164" s="20">
        <f t="shared" si="171"/>
        <v>1.3525069634579169E-12</v>
      </c>
      <c r="CC164" s="59">
        <f t="shared" si="119"/>
        <v>293.33333333333468</v>
      </c>
      <c r="CD164" s="59">
        <f ca="1">AVERAGE(OFFSET($CC$3,0,0,'Données projet'!$E$12+1,1))-AVERAGE(OFFSET($H$3,0,0,'Données projet'!$E$12+1,1))</f>
        <v>288.82868507674738</v>
      </c>
      <c r="CE164" s="59">
        <f t="shared" si="148"/>
        <v>283.48738729114024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8.2969954373466381E-2</v>
      </c>
      <c r="CM164" s="21">
        <f>EXP(-LN(2)/2)*CM163+(1-EXP(-LN(2)/2))/(LN(2)/2)*CG164*CJ164*VLOOKUP('Données projet'!$B$12,Paramètres!$A$1:$I$89,3,0)*0.475*44/12</f>
        <v>6.267542754970118E-20</v>
      </c>
      <c r="CN164" s="22">
        <f t="shared" si="172"/>
        <v>8.2969954373466381E-2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-5.6843418860808015E-14</v>
      </c>
      <c r="CU164" s="17">
        <f>CT164*VLOOKUP('Données projet'!$B$13,Paramètres!$A$1:$I$89,3,0)*VLOOKUP('Données projet'!$B$13,Paramètres!$A$1:$I$89,5,0)</f>
        <v>-4.8771653382573282E-14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273.73158910361786</v>
      </c>
      <c r="CZ164" s="59">
        <f t="shared" si="150"/>
        <v>256.77417912163997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-3.4106051316484809E-13</v>
      </c>
      <c r="DP164" s="17">
        <f>DO164*VLOOKUP('Données projet'!$B$14,Paramètres!$A$1:$I$89,3,0)*VLOOKUP('Données projet'!$B$14,Paramètres!$A$1:$I$89,5,0)</f>
        <v>-1.9065282685915009E-13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534.78683721545372</v>
      </c>
      <c r="DU164" s="59">
        <f t="shared" si="152"/>
        <v>710.59298755711075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0.40822103802397169</v>
      </c>
      <c r="EB164" s="21">
        <f>EXP(-LN(2)/25)*EB163+(1-EXP(-LN(2)/25))/(LN(2)/25)*Calculateur!DW164*Calculateur!DY164*VLOOKUP('Données projet'!$B$14,Paramètres!$A$1:$I$89,3,0)*0.475*44/12</f>
        <v>0.64016779812383817</v>
      </c>
      <c r="EC164" s="21">
        <f>EXP(-LN(2)/2)*EC163+(1-EXP(-LN(2)/2))/(LN(2)/2)*DW164*DZ164*VLOOKUP('Données projet'!$B$14,Paramètres!$A$1:$I$89,3,0)*0.475*44/12</f>
        <v>2.2423780001286965E-19</v>
      </c>
      <c r="ED164" s="22">
        <f t="shared" si="178"/>
        <v>1.0483888361478098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5.6843418860808015E-14</v>
      </c>
      <c r="EK164" s="17">
        <f>EJ164*VLOOKUP('Données projet'!$B$15,Paramètres!$A$1:$I$89,3,0)*VLOOKUP('Données projet'!$B$15,Paramètres!$A$1:$I$89,5,0)</f>
        <v>4.9658410716801891E-14</v>
      </c>
      <c r="EL164" s="13">
        <f t="shared" si="179"/>
        <v>8.0934058173791862E-13</v>
      </c>
      <c r="EM164" s="20">
        <f t="shared" si="180"/>
        <v>1.4960899118586383E-12</v>
      </c>
      <c r="EN164" s="59">
        <f t="shared" si="128"/>
        <v>293.33333333333479</v>
      </c>
      <c r="EO164" s="59">
        <f ca="1">AVERAGE(OFFSET($EN$3,0,0,'Données projet'!$E$15+1,1))-AVERAGE(OFFSET($H$3,0,0,'Données projet'!$E$15+1,1))</f>
        <v>255.2813753128475</v>
      </c>
      <c r="EP164" s="59">
        <f t="shared" si="154"/>
        <v>317.03005098025352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0.42133532158787979</v>
      </c>
      <c r="EW164" s="21">
        <f>EXP(-LN(2)/25)*EW163+(1-EXP(-LN(2)/25))/(LN(2)/25)*Calculateur!ER164*Calculateur!ET164*VLOOKUP('Données projet'!$B$15,Paramètres!$A$1:$I$89,3,0)*0.475*44/12</f>
        <v>0.46664760925112903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0.88798293083900881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1.7053025658242404E-13</v>
      </c>
      <c r="O165" s="13">
        <f>N165*VLOOKUP('Données projet'!$B$9,Paramètres!$A$1:$I$89,3,0)*VLOOKUP('Données projet'!$B$9,Paramètres!$A$1:$I$89,5,0)</f>
        <v>1.250327841262333E-13</v>
      </c>
      <c r="P165" s="13">
        <f t="shared" si="141"/>
        <v>1.8301318724634299E-12</v>
      </c>
      <c r="Q165" s="20">
        <f t="shared" si="162"/>
        <v>3.405245110226996E-12</v>
      </c>
      <c r="R165" s="59">
        <f t="shared" si="109"/>
        <v>293.33333333333672</v>
      </c>
      <c r="S165" s="59">
        <f ca="1">AVERAGE(OFFSET($R$3,0,0,'Données projet'!$E$9+1,1))-AVERAGE(OFFSET($H$3,0,0,'Données projet'!$E$9+1,1))</f>
        <v>193.60868637458515</v>
      </c>
      <c r="T165" s="59">
        <f t="shared" si="142"/>
        <v>272.97841038165217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-1.3567387213697657E-13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281.79835088425858</v>
      </c>
      <c r="AO165" s="59">
        <f t="shared" si="144"/>
        <v>345.4750813433123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343.6089004382095</v>
      </c>
      <c r="BJ165" s="59">
        <f t="shared" si="146"/>
        <v>278.21741231699929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4.4337866711430253E-14</v>
      </c>
      <c r="CA165" s="13">
        <f t="shared" si="170"/>
        <v>7.3222115536967035E-13</v>
      </c>
      <c r="CB165" s="20">
        <f t="shared" si="171"/>
        <v>1.3525069634579169E-12</v>
      </c>
      <c r="CC165" s="59">
        <f t="shared" si="119"/>
        <v>293.33333333333468</v>
      </c>
      <c r="CD165" s="59">
        <f ca="1">AVERAGE(OFFSET($CC$3,0,0,'Données projet'!$E$12+1,1))-AVERAGE(OFFSET($H$3,0,0,'Données projet'!$E$12+1,1))</f>
        <v>288.82868507674738</v>
      </c>
      <c r="CE165" s="59">
        <f t="shared" si="148"/>
        <v>283.48738729114024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8.0701136607923676E-2</v>
      </c>
      <c r="CM165" s="21">
        <f>EXP(-LN(2)/2)*CM164+(1-EXP(-LN(2)/2))/(LN(2)/2)*CG165*CJ165*VLOOKUP('Données projet'!$B$12,Paramètres!$A$1:$I$89,3,0)*0.475*44/12</f>
        <v>4.4318219834159865E-20</v>
      </c>
      <c r="CN165" s="22">
        <f t="shared" si="172"/>
        <v>8.0701136607923676E-2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-5.6843418860808015E-14</v>
      </c>
      <c r="CU165" s="17">
        <f>CT165*VLOOKUP('Données projet'!$B$13,Paramètres!$A$1:$I$89,3,0)*VLOOKUP('Données projet'!$B$13,Paramètres!$A$1:$I$89,5,0)</f>
        <v>-4.8771653382573282E-14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273.73158910361786</v>
      </c>
      <c r="CZ165" s="59">
        <f t="shared" si="150"/>
        <v>256.77417912163997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-3.4106051316484809E-13</v>
      </c>
      <c r="DP165" s="17">
        <f>DO165*VLOOKUP('Données projet'!$B$14,Paramètres!$A$1:$I$89,3,0)*VLOOKUP('Données projet'!$B$14,Paramètres!$A$1:$I$89,5,0)</f>
        <v>-1.9065282685915009E-13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534.78683721545372</v>
      </c>
      <c r="DU165" s="59">
        <f t="shared" si="152"/>
        <v>710.59298755711075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0.40021607245856905</v>
      </c>
      <c r="EB165" s="21">
        <f>EXP(-LN(2)/25)*EB164+(1-EXP(-LN(2)/25))/(LN(2)/25)*Calculateur!DW165*Calculateur!DY165*VLOOKUP('Données projet'!$B$14,Paramètres!$A$1:$I$89,3,0)*0.475*44/12</f>
        <v>0.6226623760191804</v>
      </c>
      <c r="EC165" s="21">
        <f>EXP(-LN(2)/2)*EC164+(1-EXP(-LN(2)/2))/(LN(2)/2)*DW165*DZ165*VLOOKUP('Données projet'!$B$14,Paramètres!$A$1:$I$89,3,0)*0.475*44/12</f>
        <v>1.5856006898745302E-19</v>
      </c>
      <c r="ED165" s="22">
        <f t="shared" si="178"/>
        <v>1.0228784484777496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5.6843418860808015E-14</v>
      </c>
      <c r="EK165" s="17">
        <f>EJ165*VLOOKUP('Données projet'!$B$15,Paramètres!$A$1:$I$89,3,0)*VLOOKUP('Données projet'!$B$15,Paramètres!$A$1:$I$89,5,0)</f>
        <v>4.9658410716801891E-14</v>
      </c>
      <c r="EL165" s="13">
        <f t="shared" si="179"/>
        <v>8.0934058173791862E-13</v>
      </c>
      <c r="EM165" s="20">
        <f t="shared" si="180"/>
        <v>1.4960899118586383E-12</v>
      </c>
      <c r="EN165" s="59">
        <f t="shared" si="128"/>
        <v>293.33333333333479</v>
      </c>
      <c r="EO165" s="59">
        <f ca="1">AVERAGE(OFFSET($EN$3,0,0,'Données projet'!$E$15+1,1))-AVERAGE(OFFSET($H$3,0,0,'Données projet'!$E$15+1,1))</f>
        <v>255.2813753128475</v>
      </c>
      <c r="EP165" s="59">
        <f t="shared" si="154"/>
        <v>317.03005098025352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0.41307319292071204</v>
      </c>
      <c r="EW165" s="21">
        <f>EXP(-LN(2)/25)*EW164+(1-EXP(-LN(2)/25))/(LN(2)/25)*Calculateur!ER165*Calculateur!ET165*VLOOKUP('Données projet'!$B$15,Paramètres!$A$1:$I$89,3,0)*0.475*44/12</f>
        <v>0.45388710583622566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0.8669602987569377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1.7053025658242404E-13</v>
      </c>
      <c r="O166" s="13">
        <f>N166*VLOOKUP('Données projet'!$B$9,Paramètres!$A$1:$I$89,3,0)*VLOOKUP('Données projet'!$B$9,Paramètres!$A$1:$I$89,5,0)</f>
        <v>1.250327841262333E-13</v>
      </c>
      <c r="P166" s="13">
        <f t="shared" si="141"/>
        <v>1.8301318724634299E-12</v>
      </c>
      <c r="Q166" s="20">
        <f t="shared" si="162"/>
        <v>3.405245110226996E-12</v>
      </c>
      <c r="R166" s="59">
        <f t="shared" si="109"/>
        <v>293.33333333333672</v>
      </c>
      <c r="S166" s="59">
        <f ca="1">AVERAGE(OFFSET($R$3,0,0,'Données projet'!$E$9+1,1))-AVERAGE(OFFSET($H$3,0,0,'Données projet'!$E$9+1,1))</f>
        <v>193.60868637458515</v>
      </c>
      <c r="T166" s="59">
        <f t="shared" si="142"/>
        <v>272.97841038165217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-1.3567387213697657E-13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281.79835088425858</v>
      </c>
      <c r="AO166" s="59">
        <f t="shared" si="144"/>
        <v>345.4750813433123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343.6089004382095</v>
      </c>
      <c r="BJ166" s="59">
        <f t="shared" si="146"/>
        <v>278.21741231699929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4.4337866711430253E-14</v>
      </c>
      <c r="CA166" s="13">
        <f t="shared" si="170"/>
        <v>7.3222115536967035E-13</v>
      </c>
      <c r="CB166" s="20">
        <f t="shared" si="171"/>
        <v>1.3525069634579169E-12</v>
      </c>
      <c r="CC166" s="59">
        <f t="shared" si="119"/>
        <v>293.33333333333468</v>
      </c>
      <c r="CD166" s="59">
        <f ca="1">AVERAGE(OFFSET($CC$3,0,0,'Données projet'!$E$12+1,1))-AVERAGE(OFFSET($H$3,0,0,'Données projet'!$E$12+1,1))</f>
        <v>288.82868507674738</v>
      </c>
      <c r="CE166" s="59">
        <f t="shared" si="148"/>
        <v>283.48738729114024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7.8494359783491674E-2</v>
      </c>
      <c r="CM166" s="21">
        <f>EXP(-LN(2)/2)*CM165+(1-EXP(-LN(2)/2))/(LN(2)/2)*CG166*CJ166*VLOOKUP('Données projet'!$B$12,Paramètres!$A$1:$I$89,3,0)*0.475*44/12</f>
        <v>3.133771377485059E-20</v>
      </c>
      <c r="CN166" s="22">
        <f t="shared" si="172"/>
        <v>7.8494359783491674E-2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-5.6843418860808015E-14</v>
      </c>
      <c r="CU166" s="17">
        <f>CT166*VLOOKUP('Données projet'!$B$13,Paramètres!$A$1:$I$89,3,0)*VLOOKUP('Données projet'!$B$13,Paramètres!$A$1:$I$89,5,0)</f>
        <v>-4.8771653382573282E-14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273.73158910361786</v>
      </c>
      <c r="CZ166" s="59">
        <f t="shared" si="150"/>
        <v>256.77417912163997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-3.4106051316484809E-13</v>
      </c>
      <c r="DP166" s="17">
        <f>DO166*VLOOKUP('Données projet'!$B$14,Paramètres!$A$1:$I$89,3,0)*VLOOKUP('Données projet'!$B$14,Paramètres!$A$1:$I$89,5,0)</f>
        <v>-1.9065282685915009E-13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534.78683721545372</v>
      </c>
      <c r="DU166" s="59">
        <f t="shared" si="152"/>
        <v>710.59298755711075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0.39236807938535706</v>
      </c>
      <c r="EB166" s="21">
        <f>EXP(-LN(2)/25)*EB165+(1-EXP(-LN(2)/25))/(LN(2)/25)*Calculateur!DW166*Calculateur!DY166*VLOOKUP('Données projet'!$B$14,Paramètres!$A$1:$I$89,3,0)*0.475*44/12</f>
        <v>0.60563564060254471</v>
      </c>
      <c r="EC166" s="21">
        <f>EXP(-LN(2)/2)*EC165+(1-EXP(-LN(2)/2))/(LN(2)/2)*DW166*DZ166*VLOOKUP('Données projet'!$B$14,Paramètres!$A$1:$I$89,3,0)*0.475*44/12</f>
        <v>1.1211890000643482E-19</v>
      </c>
      <c r="ED166" s="22">
        <f t="shared" si="178"/>
        <v>0.99800371998790172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5.6843418860808015E-14</v>
      </c>
      <c r="EK166" s="17">
        <f>EJ166*VLOOKUP('Données projet'!$B$15,Paramètres!$A$1:$I$89,3,0)*VLOOKUP('Données projet'!$B$15,Paramètres!$A$1:$I$89,5,0)</f>
        <v>4.9658410716801891E-14</v>
      </c>
      <c r="EL166" s="13">
        <f t="shared" si="179"/>
        <v>8.0934058173791862E-13</v>
      </c>
      <c r="EM166" s="20">
        <f t="shared" si="180"/>
        <v>1.4960899118586383E-12</v>
      </c>
      <c r="EN166" s="59">
        <f t="shared" si="128"/>
        <v>293.33333333333479</v>
      </c>
      <c r="EO166" s="59">
        <f ca="1">AVERAGE(OFFSET($EN$3,0,0,'Données projet'!$E$15+1,1))-AVERAGE(OFFSET($H$3,0,0,'Données projet'!$E$15+1,1))</f>
        <v>255.2813753128475</v>
      </c>
      <c r="EP166" s="59">
        <f t="shared" si="154"/>
        <v>317.03005098025352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0.4049730795573066</v>
      </c>
      <c r="EW166" s="21">
        <f>EXP(-LN(2)/25)*EW165+(1-EXP(-LN(2)/25))/(LN(2)/25)*Calculateur!ER166*Calculateur!ET166*VLOOKUP('Données projet'!$B$15,Paramètres!$A$1:$I$89,3,0)*0.475*44/12</f>
        <v>0.44147553905824855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0.84644861861555509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1.7053025658242404E-13</v>
      </c>
      <c r="O167" s="13">
        <f>N167*VLOOKUP('Données projet'!$B$9,Paramètres!$A$1:$I$89,3,0)*VLOOKUP('Données projet'!$B$9,Paramètres!$A$1:$I$89,5,0)</f>
        <v>1.250327841262333E-13</v>
      </c>
      <c r="P167" s="13">
        <f t="shared" si="141"/>
        <v>1.8301318724634299E-12</v>
      </c>
      <c r="Q167" s="20">
        <f t="shared" si="162"/>
        <v>3.405245110226996E-12</v>
      </c>
      <c r="R167" s="59">
        <f t="shared" si="109"/>
        <v>293.33333333333672</v>
      </c>
      <c r="S167" s="59">
        <f ca="1">AVERAGE(OFFSET($R$3,0,0,'Données projet'!$E$9+1,1))-AVERAGE(OFFSET($H$3,0,0,'Données projet'!$E$9+1,1))</f>
        <v>193.60868637458515</v>
      </c>
      <c r="T167" s="59">
        <f t="shared" si="142"/>
        <v>272.97841038165217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-1.3567387213697657E-13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281.79835088425858</v>
      </c>
      <c r="AO167" s="59">
        <f t="shared" si="144"/>
        <v>345.4750813433123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343.6089004382095</v>
      </c>
      <c r="BJ167" s="59">
        <f t="shared" si="146"/>
        <v>278.21741231699929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4.4337866711430253E-14</v>
      </c>
      <c r="CA167" s="13">
        <f t="shared" si="170"/>
        <v>7.3222115536967035E-13</v>
      </c>
      <c r="CB167" s="20">
        <f t="shared" si="171"/>
        <v>1.3525069634579169E-12</v>
      </c>
      <c r="CC167" s="59">
        <f t="shared" si="119"/>
        <v>293.33333333333468</v>
      </c>
      <c r="CD167" s="59">
        <f ca="1">AVERAGE(OFFSET($CC$3,0,0,'Données projet'!$E$12+1,1))-AVERAGE(OFFSET($H$3,0,0,'Données projet'!$E$12+1,1))</f>
        <v>288.82868507674738</v>
      </c>
      <c r="CE167" s="59">
        <f t="shared" si="148"/>
        <v>283.48738729114024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7.6347927387373116E-2</v>
      </c>
      <c r="CM167" s="21">
        <f>EXP(-LN(2)/2)*CM166+(1-EXP(-LN(2)/2))/(LN(2)/2)*CG167*CJ167*VLOOKUP('Données projet'!$B$12,Paramètres!$A$1:$I$89,3,0)*0.475*44/12</f>
        <v>2.2159109917079932E-20</v>
      </c>
      <c r="CN167" s="22">
        <f t="shared" si="172"/>
        <v>7.6347927387373116E-2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-5.6843418860808015E-14</v>
      </c>
      <c r="CU167" s="17">
        <f>CT167*VLOOKUP('Données projet'!$B$13,Paramètres!$A$1:$I$89,3,0)*VLOOKUP('Données projet'!$B$13,Paramètres!$A$1:$I$89,5,0)</f>
        <v>-4.8771653382573282E-14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273.73158910361786</v>
      </c>
      <c r="CZ167" s="59">
        <f t="shared" si="150"/>
        <v>256.77417912163997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-3.4106051316484809E-13</v>
      </c>
      <c r="DP167" s="17">
        <f>DO167*VLOOKUP('Données projet'!$B$14,Paramètres!$A$1:$I$89,3,0)*VLOOKUP('Données projet'!$B$14,Paramètres!$A$1:$I$89,5,0)</f>
        <v>-1.9065282685915009E-13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534.78683721545372</v>
      </c>
      <c r="DU167" s="59">
        <f t="shared" si="152"/>
        <v>710.59298755711075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0.38467398066950764</v>
      </c>
      <c r="EB167" s="21">
        <f>EXP(-LN(2)/25)*EB166+(1-EXP(-LN(2)/25))/(LN(2)/25)*Calculateur!DW167*Calculateur!DY167*VLOOKUP('Données projet'!$B$14,Paramètres!$A$1:$I$89,3,0)*0.475*44/12</f>
        <v>0.58907450216127399</v>
      </c>
      <c r="EC167" s="21">
        <f>EXP(-LN(2)/2)*EC166+(1-EXP(-LN(2)/2))/(LN(2)/2)*DW167*DZ167*VLOOKUP('Données projet'!$B$14,Paramètres!$A$1:$I$89,3,0)*0.475*44/12</f>
        <v>7.9280034493726511E-20</v>
      </c>
      <c r="ED167" s="22">
        <f t="shared" si="178"/>
        <v>0.97374848283078164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5.6843418860808015E-14</v>
      </c>
      <c r="EK167" s="17">
        <f>EJ167*VLOOKUP('Données projet'!$B$15,Paramètres!$A$1:$I$89,3,0)*VLOOKUP('Données projet'!$B$15,Paramètres!$A$1:$I$89,5,0)</f>
        <v>4.9658410716801891E-14</v>
      </c>
      <c r="EL167" s="13">
        <f t="shared" si="179"/>
        <v>8.0934058173791862E-13</v>
      </c>
      <c r="EM167" s="20">
        <f t="shared" si="180"/>
        <v>1.4960899118586383E-12</v>
      </c>
      <c r="EN167" s="59">
        <f t="shared" si="128"/>
        <v>293.33333333333479</v>
      </c>
      <c r="EO167" s="59">
        <f ca="1">AVERAGE(OFFSET($EN$3,0,0,'Données projet'!$E$15+1,1))-AVERAGE(OFFSET($H$3,0,0,'Données projet'!$E$15+1,1))</f>
        <v>255.2813753128475</v>
      </c>
      <c r="EP167" s="59">
        <f t="shared" si="154"/>
        <v>317.03005098025352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0.3970318044763762</v>
      </c>
      <c r="EW167" s="21">
        <f>EXP(-LN(2)/25)*EW166+(1-EXP(-LN(2)/25))/(LN(2)/25)*Calculateur!ER167*Calculateur!ET167*VLOOKUP('Données projet'!$B$15,Paramètres!$A$1:$I$89,3,0)*0.475*44/12</f>
        <v>0.42940336722651112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0.82643517170288727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1.7053025658242404E-13</v>
      </c>
      <c r="O168" s="13">
        <f>N168*VLOOKUP('Données projet'!$B$9,Paramètres!$A$1:$I$89,3,0)*VLOOKUP('Données projet'!$B$9,Paramètres!$A$1:$I$89,5,0)</f>
        <v>1.250327841262333E-13</v>
      </c>
      <c r="P168" s="13">
        <f t="shared" si="141"/>
        <v>1.8301318724634299E-12</v>
      </c>
      <c r="Q168" s="20">
        <f t="shared" si="162"/>
        <v>3.405245110226996E-12</v>
      </c>
      <c r="R168" s="59">
        <f t="shared" si="109"/>
        <v>293.33333333333672</v>
      </c>
      <c r="S168" s="59">
        <f ca="1">AVERAGE(OFFSET($R$3,0,0,'Données projet'!$E$9+1,1))-AVERAGE(OFFSET($H$3,0,0,'Données projet'!$E$9+1,1))</f>
        <v>193.60868637458515</v>
      </c>
      <c r="T168" s="59">
        <f t="shared" si="142"/>
        <v>272.97841038165217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-1.3567387213697657E-13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281.79835088425858</v>
      </c>
      <c r="AO168" s="59">
        <f t="shared" si="144"/>
        <v>345.4750813433123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343.6089004382095</v>
      </c>
      <c r="BJ168" s="59">
        <f t="shared" si="146"/>
        <v>278.21741231699929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4.4337866711430253E-14</v>
      </c>
      <c r="CA168" s="13">
        <f t="shared" si="170"/>
        <v>7.3222115536967035E-13</v>
      </c>
      <c r="CB168" s="20">
        <f t="shared" si="171"/>
        <v>1.3525069634579169E-12</v>
      </c>
      <c r="CC168" s="59">
        <f t="shared" si="119"/>
        <v>293.33333333333468</v>
      </c>
      <c r="CD168" s="59">
        <f ca="1">AVERAGE(OFFSET($CC$3,0,0,'Données projet'!$E$12+1,1))-AVERAGE(OFFSET($H$3,0,0,'Données projet'!$E$12+1,1))</f>
        <v>288.82868507674738</v>
      </c>
      <c r="CE168" s="59">
        <f t="shared" si="148"/>
        <v>283.48738729114024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7.4260189298002391E-2</v>
      </c>
      <c r="CM168" s="21">
        <f>EXP(-LN(2)/2)*CM167+(1-EXP(-LN(2)/2))/(LN(2)/2)*CG168*CJ168*VLOOKUP('Données projet'!$B$12,Paramètres!$A$1:$I$89,3,0)*0.475*44/12</f>
        <v>1.5668856887425295E-20</v>
      </c>
      <c r="CN168" s="22">
        <f t="shared" si="172"/>
        <v>7.4260189298002391E-2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-5.6843418860808015E-14</v>
      </c>
      <c r="CU168" s="17">
        <f>CT168*VLOOKUP('Données projet'!$B$13,Paramètres!$A$1:$I$89,3,0)*VLOOKUP('Données projet'!$B$13,Paramètres!$A$1:$I$89,5,0)</f>
        <v>-4.8771653382573282E-14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273.73158910361786</v>
      </c>
      <c r="CZ168" s="59">
        <f t="shared" si="150"/>
        <v>256.77417912163997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-3.4106051316484809E-13</v>
      </c>
      <c r="DP168" s="17">
        <f>DO168*VLOOKUP('Données projet'!$B$14,Paramètres!$A$1:$I$89,3,0)*VLOOKUP('Données projet'!$B$14,Paramètres!$A$1:$I$89,5,0)</f>
        <v>-1.9065282685915009E-13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534.78683721545372</v>
      </c>
      <c r="DU168" s="59">
        <f t="shared" si="152"/>
        <v>710.59298755711075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0.37713075853653921</v>
      </c>
      <c r="EB168" s="21">
        <f>EXP(-LN(2)/25)*EB167+(1-EXP(-LN(2)/25))/(LN(2)/25)*Calculateur!DW168*Calculateur!DY168*VLOOKUP('Données projet'!$B$14,Paramètres!$A$1:$I$89,3,0)*0.475*44/12</f>
        <v>0.57296622892159221</v>
      </c>
      <c r="EC168" s="21">
        <f>EXP(-LN(2)/2)*EC167+(1-EXP(-LN(2)/2))/(LN(2)/2)*DW168*DZ168*VLOOKUP('Données projet'!$B$14,Paramètres!$A$1:$I$89,3,0)*0.475*44/12</f>
        <v>5.6059450003217412E-20</v>
      </c>
      <c r="ED168" s="22">
        <f t="shared" si="178"/>
        <v>0.95009698745813143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5.6843418860808015E-14</v>
      </c>
      <c r="EK168" s="17">
        <f>EJ168*VLOOKUP('Données projet'!$B$15,Paramètres!$A$1:$I$89,3,0)*VLOOKUP('Données projet'!$B$15,Paramètres!$A$1:$I$89,5,0)</f>
        <v>4.9658410716801891E-14</v>
      </c>
      <c r="EL168" s="13">
        <f t="shared" si="179"/>
        <v>8.0934058173791862E-13</v>
      </c>
      <c r="EM168" s="20">
        <f t="shared" si="180"/>
        <v>1.4960899118586383E-12</v>
      </c>
      <c r="EN168" s="59">
        <f t="shared" si="128"/>
        <v>293.33333333333479</v>
      </c>
      <c r="EO168" s="59">
        <f ca="1">AVERAGE(OFFSET($EN$3,0,0,'Données projet'!$E$15+1,1))-AVERAGE(OFFSET($H$3,0,0,'Données projet'!$E$15+1,1))</f>
        <v>255.2813753128475</v>
      </c>
      <c r="EP168" s="59">
        <f t="shared" si="154"/>
        <v>317.03005098025352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0.38924625295608334</v>
      </c>
      <c r="EW168" s="21">
        <f>EXP(-LN(2)/25)*EW167+(1-EXP(-LN(2)/25))/(LN(2)/25)*Calculateur!ER168*Calculateur!ET168*VLOOKUP('Données projet'!$B$15,Paramètres!$A$1:$I$89,3,0)*0.475*44/12</f>
        <v>0.41766130956836051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0.80690756252444384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1.7053025658242404E-13</v>
      </c>
      <c r="O169" s="13">
        <f>N169*VLOOKUP('Données projet'!$B$9,Paramètres!$A$1:$I$89,3,0)*VLOOKUP('Données projet'!$B$9,Paramètres!$A$1:$I$89,5,0)</f>
        <v>1.250327841262333E-13</v>
      </c>
      <c r="P169" s="13">
        <f t="shared" si="141"/>
        <v>1.8301318724634299E-12</v>
      </c>
      <c r="Q169" s="20">
        <f t="shared" si="162"/>
        <v>3.405245110226996E-12</v>
      </c>
      <c r="R169" s="59">
        <f t="shared" si="109"/>
        <v>293.33333333333672</v>
      </c>
      <c r="S169" s="59">
        <f ca="1">AVERAGE(OFFSET($R$3,0,0,'Données projet'!$E$9+1,1))-AVERAGE(OFFSET($H$3,0,0,'Données projet'!$E$9+1,1))</f>
        <v>193.60868637458515</v>
      </c>
      <c r="T169" s="59">
        <f t="shared" si="142"/>
        <v>272.97841038165217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-1.3567387213697657E-13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281.79835088425858</v>
      </c>
      <c r="AO169" s="59">
        <f t="shared" si="144"/>
        <v>345.4750813433123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343.6089004382095</v>
      </c>
      <c r="BJ169" s="59">
        <f t="shared" si="146"/>
        <v>278.21741231699929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4.4337866711430253E-14</v>
      </c>
      <c r="CA169" s="13">
        <f t="shared" si="170"/>
        <v>7.3222115536967035E-13</v>
      </c>
      <c r="CB169" s="20">
        <f t="shared" si="171"/>
        <v>1.3525069634579169E-12</v>
      </c>
      <c r="CC169" s="59">
        <f t="shared" si="119"/>
        <v>293.33333333333468</v>
      </c>
      <c r="CD169" s="59">
        <f ca="1">AVERAGE(OFFSET($CC$3,0,0,'Données projet'!$E$12+1,1))-AVERAGE(OFFSET($H$3,0,0,'Données projet'!$E$12+1,1))</f>
        <v>288.82868507674738</v>
      </c>
      <c r="CE169" s="59">
        <f t="shared" si="148"/>
        <v>283.48738729114024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7.2229540516474885E-2</v>
      </c>
      <c r="CM169" s="21">
        <f>EXP(-LN(2)/2)*CM168+(1-EXP(-LN(2)/2))/(LN(2)/2)*CG169*CJ169*VLOOKUP('Données projet'!$B$12,Paramètres!$A$1:$I$89,3,0)*0.475*44/12</f>
        <v>1.1079554958539966E-20</v>
      </c>
      <c r="CN169" s="22">
        <f t="shared" si="172"/>
        <v>7.2229540516474885E-2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-5.6843418860808015E-14</v>
      </c>
      <c r="CU169" s="17">
        <f>CT169*VLOOKUP('Données projet'!$B$13,Paramètres!$A$1:$I$89,3,0)*VLOOKUP('Données projet'!$B$13,Paramètres!$A$1:$I$89,5,0)</f>
        <v>-4.8771653382573282E-14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273.73158910361786</v>
      </c>
      <c r="CZ169" s="59">
        <f t="shared" si="150"/>
        <v>256.77417912163997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-3.4106051316484809E-13</v>
      </c>
      <c r="DP169" s="17">
        <f>DO169*VLOOKUP('Données projet'!$B$14,Paramètres!$A$1:$I$89,3,0)*VLOOKUP('Données projet'!$B$14,Paramètres!$A$1:$I$89,5,0)</f>
        <v>-1.9065282685915009E-13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534.78683721545372</v>
      </c>
      <c r="DU169" s="59">
        <f t="shared" si="152"/>
        <v>710.59298755711075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0.3697354543886871</v>
      </c>
      <c r="EB169" s="21">
        <f>EXP(-LN(2)/25)*EB168+(1-EXP(-LN(2)/25))/(LN(2)/25)*Calculateur!DW169*Calculateur!DY169*VLOOKUP('Données projet'!$B$14,Paramètres!$A$1:$I$89,3,0)*0.475*44/12</f>
        <v>0.55729843726074679</v>
      </c>
      <c r="EC169" s="21">
        <f>EXP(-LN(2)/2)*EC168+(1-EXP(-LN(2)/2))/(LN(2)/2)*DW169*DZ169*VLOOKUP('Données projet'!$B$14,Paramètres!$A$1:$I$89,3,0)*0.475*44/12</f>
        <v>3.9640017246863256E-20</v>
      </c>
      <c r="ED169" s="22">
        <f t="shared" si="178"/>
        <v>0.92703389164943384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5.6843418860808015E-14</v>
      </c>
      <c r="EK169" s="17">
        <f>EJ169*VLOOKUP('Données projet'!$B$15,Paramètres!$A$1:$I$89,3,0)*VLOOKUP('Données projet'!$B$15,Paramètres!$A$1:$I$89,5,0)</f>
        <v>4.9658410716801891E-14</v>
      </c>
      <c r="EL169" s="13">
        <f t="shared" si="179"/>
        <v>8.0934058173791862E-13</v>
      </c>
      <c r="EM169" s="20">
        <f t="shared" si="180"/>
        <v>1.4960899118586383E-12</v>
      </c>
      <c r="EN169" s="59">
        <f t="shared" si="128"/>
        <v>293.33333333333479</v>
      </c>
      <c r="EO169" s="59">
        <f ca="1">AVERAGE(OFFSET($EN$3,0,0,'Données projet'!$E$15+1,1))-AVERAGE(OFFSET($H$3,0,0,'Données projet'!$E$15+1,1))</f>
        <v>255.2813753128475</v>
      </c>
      <c r="EP169" s="59">
        <f t="shared" si="154"/>
        <v>317.03005098025352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0.38161337135238588</v>
      </c>
      <c r="EW169" s="21">
        <f>EXP(-LN(2)/25)*EW168+(1-EXP(-LN(2)/25))/(LN(2)/25)*Calculateur!ER169*Calculateur!ET169*VLOOKUP('Données projet'!$B$15,Paramètres!$A$1:$I$89,3,0)*0.475*44/12</f>
        <v>0.40624033909435997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0.78785371044674579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1.7053025658242404E-13</v>
      </c>
      <c r="O170" s="13">
        <f>N170*VLOOKUP('Données projet'!$B$9,Paramètres!$A$1:$I$89,3,0)*VLOOKUP('Données projet'!$B$9,Paramètres!$A$1:$I$89,5,0)</f>
        <v>1.250327841262333E-13</v>
      </c>
      <c r="P170" s="13">
        <f t="shared" si="141"/>
        <v>1.8301318724634299E-12</v>
      </c>
      <c r="Q170" s="20">
        <f t="shared" si="162"/>
        <v>3.405245110226996E-12</v>
      </c>
      <c r="R170" s="59">
        <f t="shared" si="109"/>
        <v>293.33333333333672</v>
      </c>
      <c r="S170" s="59">
        <f ca="1">AVERAGE(OFFSET($R$3,0,0,'Données projet'!$E$9+1,1))-AVERAGE(OFFSET($H$3,0,0,'Données projet'!$E$9+1,1))</f>
        <v>193.60868637458515</v>
      </c>
      <c r="T170" s="59">
        <f t="shared" si="142"/>
        <v>272.97841038165217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-1.3567387213697657E-13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281.79835088425858</v>
      </c>
      <c r="AO170" s="59">
        <f t="shared" si="144"/>
        <v>345.4750813433123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343.6089004382095</v>
      </c>
      <c r="BJ170" s="59">
        <f t="shared" si="146"/>
        <v>278.21741231699929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4.4337866711430253E-14</v>
      </c>
      <c r="CA170" s="13">
        <f t="shared" si="170"/>
        <v>7.3222115536967035E-13</v>
      </c>
      <c r="CB170" s="20">
        <f t="shared" si="171"/>
        <v>1.3525069634579169E-12</v>
      </c>
      <c r="CC170" s="59">
        <f t="shared" si="119"/>
        <v>293.33333333333468</v>
      </c>
      <c r="CD170" s="59">
        <f ca="1">AVERAGE(OFFSET($CC$3,0,0,'Données projet'!$E$12+1,1))-AVERAGE(OFFSET($H$3,0,0,'Données projet'!$E$12+1,1))</f>
        <v>288.82868507674738</v>
      </c>
      <c r="CE170" s="59">
        <f t="shared" si="148"/>
        <v>283.48738729114024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7.025441993266543E-2</v>
      </c>
      <c r="CM170" s="21">
        <f>EXP(-LN(2)/2)*CM169+(1-EXP(-LN(2)/2))/(LN(2)/2)*CG170*CJ170*VLOOKUP('Données projet'!$B$12,Paramètres!$A$1:$I$89,3,0)*0.475*44/12</f>
        <v>7.8344284437126475E-21</v>
      </c>
      <c r="CN170" s="22">
        <f t="shared" si="172"/>
        <v>7.025441993266543E-2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-5.6843418860808015E-14</v>
      </c>
      <c r="CU170" s="17">
        <f>CT170*VLOOKUP('Données projet'!$B$13,Paramètres!$A$1:$I$89,3,0)*VLOOKUP('Données projet'!$B$13,Paramètres!$A$1:$I$89,5,0)</f>
        <v>-4.8771653382573282E-14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273.73158910361786</v>
      </c>
      <c r="CZ170" s="59">
        <f t="shared" si="150"/>
        <v>256.77417912163997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-3.4106051316484809E-13</v>
      </c>
      <c r="DP170" s="17">
        <f>DO170*VLOOKUP('Données projet'!$B$14,Paramètres!$A$1:$I$89,3,0)*VLOOKUP('Données projet'!$B$14,Paramètres!$A$1:$I$89,5,0)</f>
        <v>-1.9065282685915009E-13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534.78683721545372</v>
      </c>
      <c r="DU170" s="59">
        <f t="shared" si="152"/>
        <v>710.59298755711075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0.36248516764448424</v>
      </c>
      <c r="EB170" s="21">
        <f>EXP(-LN(2)/25)*EB169+(1-EXP(-LN(2)/25))/(LN(2)/25)*Calculateur!DW170*Calculateur!DY170*VLOOKUP('Données projet'!$B$14,Paramètres!$A$1:$I$89,3,0)*0.475*44/12</f>
        <v>0.54205908218680054</v>
      </c>
      <c r="EC170" s="21">
        <f>EXP(-LN(2)/2)*EC169+(1-EXP(-LN(2)/2))/(LN(2)/2)*DW170*DZ170*VLOOKUP('Données projet'!$B$14,Paramètres!$A$1:$I$89,3,0)*0.475*44/12</f>
        <v>2.8029725001608706E-20</v>
      </c>
      <c r="ED170" s="22">
        <f t="shared" si="178"/>
        <v>0.90454424983128479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5.6843418860808015E-14</v>
      </c>
      <c r="EK170" s="17">
        <f>EJ170*VLOOKUP('Données projet'!$B$15,Paramètres!$A$1:$I$89,3,0)*VLOOKUP('Données projet'!$B$15,Paramètres!$A$1:$I$89,5,0)</f>
        <v>4.9658410716801891E-14</v>
      </c>
      <c r="EL170" s="13">
        <f t="shared" si="179"/>
        <v>8.0934058173791862E-13</v>
      </c>
      <c r="EM170" s="20">
        <f t="shared" si="180"/>
        <v>1.4960899118586383E-12</v>
      </c>
      <c r="EN170" s="59">
        <f t="shared" si="128"/>
        <v>293.33333333333479</v>
      </c>
      <c r="EO170" s="59">
        <f ca="1">AVERAGE(OFFSET($EN$3,0,0,'Données projet'!$E$15+1,1))-AVERAGE(OFFSET($H$3,0,0,'Données projet'!$E$15+1,1))</f>
        <v>255.2813753128475</v>
      </c>
      <c r="EP170" s="59">
        <f t="shared" si="154"/>
        <v>317.03005098025352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0.37413016590133885</v>
      </c>
      <c r="EW170" s="21">
        <f>EXP(-LN(2)/25)*EW169+(1-EXP(-LN(2)/25))/(LN(2)/25)*Calculateur!ER170*Calculateur!ET170*VLOOKUP('Données projet'!$B$15,Paramètres!$A$1:$I$89,3,0)*0.475*44/12</f>
        <v>0.39513167565857371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0.76926184155991262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1.7053025658242404E-13</v>
      </c>
      <c r="O171" s="13">
        <f>N171*VLOOKUP('Données projet'!$B$9,Paramètres!$A$1:$I$89,3,0)*VLOOKUP('Données projet'!$B$9,Paramètres!$A$1:$I$89,5,0)</f>
        <v>1.250327841262333E-13</v>
      </c>
      <c r="P171" s="13">
        <f t="shared" si="141"/>
        <v>1.8301318724634299E-12</v>
      </c>
      <c r="Q171" s="20">
        <f t="shared" si="162"/>
        <v>3.405245110226996E-12</v>
      </c>
      <c r="R171" s="59">
        <f t="shared" si="109"/>
        <v>293.33333333333672</v>
      </c>
      <c r="S171" s="59">
        <f ca="1">AVERAGE(OFFSET($R$3,0,0,'Données projet'!$E$9+1,1))-AVERAGE(OFFSET($H$3,0,0,'Données projet'!$E$9+1,1))</f>
        <v>193.60868637458515</v>
      </c>
      <c r="T171" s="59">
        <f t="shared" si="142"/>
        <v>272.97841038165217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-1.3567387213697657E-13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281.79835088425858</v>
      </c>
      <c r="AO171" s="59">
        <f t="shared" si="144"/>
        <v>345.4750813433123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343.6089004382095</v>
      </c>
      <c r="BJ171" s="59">
        <f t="shared" si="146"/>
        <v>278.21741231699929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4.4337866711430253E-14</v>
      </c>
      <c r="CA171" s="13">
        <f t="shared" si="170"/>
        <v>7.3222115536967035E-13</v>
      </c>
      <c r="CB171" s="20">
        <f t="shared" si="171"/>
        <v>1.3525069634579169E-12</v>
      </c>
      <c r="CC171" s="59">
        <f t="shared" si="119"/>
        <v>293.33333333333468</v>
      </c>
      <c r="CD171" s="59">
        <f ca="1">AVERAGE(OFFSET($CC$3,0,0,'Données projet'!$E$12+1,1))-AVERAGE(OFFSET($H$3,0,0,'Données projet'!$E$12+1,1))</f>
        <v>288.82868507674738</v>
      </c>
      <c r="CE171" s="59">
        <f t="shared" si="148"/>
        <v>283.48738729114024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6.8333309125087324E-2</v>
      </c>
      <c r="CM171" s="21">
        <f>EXP(-LN(2)/2)*CM170+(1-EXP(-LN(2)/2))/(LN(2)/2)*CG171*CJ171*VLOOKUP('Données projet'!$B$12,Paramètres!$A$1:$I$89,3,0)*0.475*44/12</f>
        <v>5.5397774792699831E-21</v>
      </c>
      <c r="CN171" s="22">
        <f t="shared" si="172"/>
        <v>6.8333309125087324E-2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-5.6843418860808015E-14</v>
      </c>
      <c r="CU171" s="17">
        <f>CT171*VLOOKUP('Données projet'!$B$13,Paramètres!$A$1:$I$89,3,0)*VLOOKUP('Données projet'!$B$13,Paramètres!$A$1:$I$89,5,0)</f>
        <v>-4.8771653382573282E-14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273.73158910361786</v>
      </c>
      <c r="CZ171" s="59">
        <f t="shared" si="150"/>
        <v>256.77417912163997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-3.4106051316484809E-13</v>
      </c>
      <c r="DP171" s="17">
        <f>DO171*VLOOKUP('Données projet'!$B$14,Paramètres!$A$1:$I$89,3,0)*VLOOKUP('Données projet'!$B$14,Paramètres!$A$1:$I$89,5,0)</f>
        <v>-1.9065282685915009E-13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534.78683721545372</v>
      </c>
      <c r="DU171" s="59">
        <f t="shared" si="152"/>
        <v>710.59298755711075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0.35537705460109692</v>
      </c>
      <c r="EB171" s="21">
        <f>EXP(-LN(2)/25)*EB170+(1-EXP(-LN(2)/25))/(LN(2)/25)*Calculateur!DW171*Calculateur!DY171*VLOOKUP('Données projet'!$B$14,Paramètres!$A$1:$I$89,3,0)*0.475*44/12</f>
        <v>0.52723644807875425</v>
      </c>
      <c r="EC171" s="21">
        <f>EXP(-LN(2)/2)*EC170+(1-EXP(-LN(2)/2))/(LN(2)/2)*DW171*DZ171*VLOOKUP('Données projet'!$B$14,Paramètres!$A$1:$I$89,3,0)*0.475*44/12</f>
        <v>1.9820008623431628E-20</v>
      </c>
      <c r="ED171" s="22">
        <f t="shared" si="178"/>
        <v>0.88261350267985117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5.6843418860808015E-14</v>
      </c>
      <c r="EK171" s="17">
        <f>EJ171*VLOOKUP('Données projet'!$B$15,Paramètres!$A$1:$I$89,3,0)*VLOOKUP('Données projet'!$B$15,Paramètres!$A$1:$I$89,5,0)</f>
        <v>4.9658410716801891E-14</v>
      </c>
      <c r="EL171" s="13">
        <f t="shared" si="179"/>
        <v>8.0934058173791862E-13</v>
      </c>
      <c r="EM171" s="20">
        <f t="shared" si="180"/>
        <v>1.4960899118586383E-12</v>
      </c>
      <c r="EN171" s="59">
        <f t="shared" si="128"/>
        <v>293.33333333333479</v>
      </c>
      <c r="EO171" s="59">
        <f ca="1">AVERAGE(OFFSET($EN$3,0,0,'Données projet'!$E$15+1,1))-AVERAGE(OFFSET($H$3,0,0,'Données projet'!$E$15+1,1))</f>
        <v>255.2813753128475</v>
      </c>
      <c r="EP171" s="59">
        <f t="shared" si="154"/>
        <v>317.03005098025352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0.36679370154488222</v>
      </c>
      <c r="EW171" s="21">
        <f>EXP(-LN(2)/25)*EW170+(1-EXP(-LN(2)/25))/(LN(2)/25)*Calculateur!ER171*Calculateur!ET171*VLOOKUP('Données projet'!$B$15,Paramètres!$A$1:$I$89,3,0)*0.475*44/12</f>
        <v>0.3843267792086183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0.75112048075350057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1.7053025658242404E-13</v>
      </c>
      <c r="O172" s="13">
        <f>N172*VLOOKUP('Données projet'!$B$9,Paramètres!$A$1:$I$89,3,0)*VLOOKUP('Données projet'!$B$9,Paramètres!$A$1:$I$89,5,0)</f>
        <v>1.250327841262333E-13</v>
      </c>
      <c r="P172" s="13">
        <f t="shared" si="141"/>
        <v>1.8301318724634299E-12</v>
      </c>
      <c r="Q172" s="20">
        <f t="shared" si="162"/>
        <v>3.405245110226996E-12</v>
      </c>
      <c r="R172" s="59">
        <f t="shared" si="109"/>
        <v>293.33333333333672</v>
      </c>
      <c r="S172" s="59">
        <f ca="1">AVERAGE(OFFSET($R$3,0,0,'Données projet'!$E$9+1,1))-AVERAGE(OFFSET($H$3,0,0,'Données projet'!$E$9+1,1))</f>
        <v>193.60868637458515</v>
      </c>
      <c r="T172" s="59">
        <f t="shared" si="142"/>
        <v>272.97841038165217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-1.3567387213697657E-13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281.79835088425858</v>
      </c>
      <c r="AO172" s="59">
        <f t="shared" si="144"/>
        <v>345.4750813433123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343.6089004382095</v>
      </c>
      <c r="BJ172" s="59">
        <f t="shared" si="146"/>
        <v>278.21741231699929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4.4337866711430253E-14</v>
      </c>
      <c r="CA172" s="13">
        <f t="shared" si="170"/>
        <v>7.3222115536967035E-13</v>
      </c>
      <c r="CB172" s="20">
        <f t="shared" si="171"/>
        <v>1.3525069634579169E-12</v>
      </c>
      <c r="CC172" s="59">
        <f t="shared" si="119"/>
        <v>293.33333333333468</v>
      </c>
      <c r="CD172" s="59">
        <f ca="1">AVERAGE(OFFSET($CC$3,0,0,'Données projet'!$E$12+1,1))-AVERAGE(OFFSET($H$3,0,0,'Données projet'!$E$12+1,1))</f>
        <v>288.82868507674738</v>
      </c>
      <c r="CE172" s="59">
        <f t="shared" si="148"/>
        <v>283.48738729114024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6.6464731193569257E-2</v>
      </c>
      <c r="CM172" s="21">
        <f>EXP(-LN(2)/2)*CM171+(1-EXP(-LN(2)/2))/(LN(2)/2)*CG172*CJ172*VLOOKUP('Données projet'!$B$12,Paramètres!$A$1:$I$89,3,0)*0.475*44/12</f>
        <v>3.9172142218563237E-21</v>
      </c>
      <c r="CN172" s="22">
        <f t="shared" si="172"/>
        <v>6.6464731193569257E-2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-5.6843418860808015E-14</v>
      </c>
      <c r="CU172" s="17">
        <f>CT172*VLOOKUP('Données projet'!$B$13,Paramètres!$A$1:$I$89,3,0)*VLOOKUP('Données projet'!$B$13,Paramètres!$A$1:$I$89,5,0)</f>
        <v>-4.8771653382573282E-14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273.73158910361786</v>
      </c>
      <c r="CZ172" s="59">
        <f t="shared" si="150"/>
        <v>256.77417912163997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-3.4106051316484809E-13</v>
      </c>
      <c r="DP172" s="17">
        <f>DO172*VLOOKUP('Données projet'!$B$14,Paramètres!$A$1:$I$89,3,0)*VLOOKUP('Données projet'!$B$14,Paramètres!$A$1:$I$89,5,0)</f>
        <v>-1.9065282685915009E-13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534.78683721545372</v>
      </c>
      <c r="DU172" s="59">
        <f t="shared" si="152"/>
        <v>710.59298755711075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0.34840832731896959</v>
      </c>
      <c r="EB172" s="21">
        <f>EXP(-LN(2)/25)*EB171+(1-EXP(-LN(2)/25))/(LN(2)/25)*Calculateur!DW172*Calculateur!DY172*VLOOKUP('Données projet'!$B$14,Paramètres!$A$1:$I$89,3,0)*0.475*44/12</f>
        <v>0.51281913967988091</v>
      </c>
      <c r="EC172" s="21">
        <f>EXP(-LN(2)/2)*EC171+(1-EXP(-LN(2)/2))/(LN(2)/2)*DW172*DZ172*VLOOKUP('Données projet'!$B$14,Paramètres!$A$1:$I$89,3,0)*0.475*44/12</f>
        <v>1.4014862500804353E-20</v>
      </c>
      <c r="ED172" s="22">
        <f t="shared" si="178"/>
        <v>0.86122746699885044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5.6843418860808015E-14</v>
      </c>
      <c r="EK172" s="17">
        <f>EJ172*VLOOKUP('Données projet'!$B$15,Paramètres!$A$1:$I$89,3,0)*VLOOKUP('Données projet'!$B$15,Paramètres!$A$1:$I$89,5,0)</f>
        <v>4.9658410716801891E-14</v>
      </c>
      <c r="EL172" s="13">
        <f t="shared" si="179"/>
        <v>8.0934058173791862E-13</v>
      </c>
      <c r="EM172" s="20">
        <f t="shared" si="180"/>
        <v>1.4960899118586383E-12</v>
      </c>
      <c r="EN172" s="59">
        <f t="shared" si="128"/>
        <v>293.33333333333479</v>
      </c>
      <c r="EO172" s="59">
        <f ca="1">AVERAGE(OFFSET($EN$3,0,0,'Données projet'!$E$15+1,1))-AVERAGE(OFFSET($H$3,0,0,'Données projet'!$E$15+1,1))</f>
        <v>255.2813753128475</v>
      </c>
      <c r="EP172" s="59">
        <f t="shared" si="154"/>
        <v>317.03005098025352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0.35960110077965429</v>
      </c>
      <c r="EW172" s="21">
        <f>EXP(-LN(2)/25)*EW171+(1-EXP(-LN(2)/25))/(LN(2)/25)*Calculateur!ER172*Calculateur!ET172*VLOOKUP('Données projet'!$B$15,Paramètres!$A$1:$I$89,3,0)*0.475*44/12</f>
        <v>0.3738173432202917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0.73341844399994605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1.7053025658242404E-13</v>
      </c>
      <c r="O173" s="13">
        <f>N173*VLOOKUP('Données projet'!$B$9,Paramètres!$A$1:$I$89,3,0)*VLOOKUP('Données projet'!$B$9,Paramètres!$A$1:$I$89,5,0)</f>
        <v>1.250327841262333E-13</v>
      </c>
      <c r="P173" s="13">
        <f t="shared" si="141"/>
        <v>1.8301318724634299E-12</v>
      </c>
      <c r="Q173" s="20">
        <f t="shared" si="162"/>
        <v>3.405245110226996E-12</v>
      </c>
      <c r="R173" s="59">
        <f t="shared" si="109"/>
        <v>293.33333333333672</v>
      </c>
      <c r="S173" s="59">
        <f ca="1">AVERAGE(OFFSET($R$3,0,0,'Données projet'!$E$9+1,1))-AVERAGE(OFFSET($H$3,0,0,'Données projet'!$E$9+1,1))</f>
        <v>193.60868637458515</v>
      </c>
      <c r="T173" s="59">
        <f t="shared" si="142"/>
        <v>272.97841038165217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-1.3567387213697657E-13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281.79835088425858</v>
      </c>
      <c r="AO173" s="59">
        <f t="shared" si="144"/>
        <v>345.4750813433123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343.6089004382095</v>
      </c>
      <c r="BJ173" s="59">
        <f t="shared" si="146"/>
        <v>278.21741231699929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4.4337866711430253E-14</v>
      </c>
      <c r="CA173" s="13">
        <f t="shared" si="170"/>
        <v>7.3222115536967035E-13</v>
      </c>
      <c r="CB173" s="20">
        <f t="shared" si="171"/>
        <v>1.3525069634579169E-12</v>
      </c>
      <c r="CC173" s="59">
        <f t="shared" si="119"/>
        <v>293.33333333333468</v>
      </c>
      <c r="CD173" s="59">
        <f ca="1">AVERAGE(OFFSET($CC$3,0,0,'Données projet'!$E$12+1,1))-AVERAGE(OFFSET($H$3,0,0,'Données projet'!$E$12+1,1))</f>
        <v>288.82868507674738</v>
      </c>
      <c r="CE173" s="59">
        <f t="shared" si="148"/>
        <v>283.48738729114024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6.4647249623852793E-2</v>
      </c>
      <c r="CM173" s="21">
        <f>EXP(-LN(2)/2)*CM172+(1-EXP(-LN(2)/2))/(LN(2)/2)*CG173*CJ173*VLOOKUP('Données projet'!$B$12,Paramètres!$A$1:$I$89,3,0)*0.475*44/12</f>
        <v>2.7698887396349916E-21</v>
      </c>
      <c r="CN173" s="22">
        <f t="shared" si="172"/>
        <v>6.4647249623852793E-2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-5.6843418860808015E-14</v>
      </c>
      <c r="CU173" s="17">
        <f>CT173*VLOOKUP('Données projet'!$B$13,Paramètres!$A$1:$I$89,3,0)*VLOOKUP('Données projet'!$B$13,Paramètres!$A$1:$I$89,5,0)</f>
        <v>-4.8771653382573282E-14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273.73158910361786</v>
      </c>
      <c r="CZ173" s="59">
        <f t="shared" si="150"/>
        <v>256.77417912163997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-3.4106051316484809E-13</v>
      </c>
      <c r="DP173" s="17">
        <f>DO173*VLOOKUP('Données projet'!$B$14,Paramètres!$A$1:$I$89,3,0)*VLOOKUP('Données projet'!$B$14,Paramètres!$A$1:$I$89,5,0)</f>
        <v>-1.9065282685915009E-13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534.78683721545372</v>
      </c>
      <c r="DU173" s="59">
        <f t="shared" si="152"/>
        <v>710.59298755711075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0.34157625252834084</v>
      </c>
      <c r="EB173" s="21">
        <f>EXP(-LN(2)/25)*EB172+(1-EXP(-LN(2)/25))/(LN(2)/25)*Calculateur!DW173*Calculateur!DY173*VLOOKUP('Données projet'!$B$14,Paramètres!$A$1:$I$89,3,0)*0.475*44/12</f>
        <v>0.4987960733373481</v>
      </c>
      <c r="EC173" s="21">
        <f>EXP(-LN(2)/2)*EC172+(1-EXP(-LN(2)/2))/(LN(2)/2)*DW173*DZ173*VLOOKUP('Données projet'!$B$14,Paramètres!$A$1:$I$89,3,0)*0.475*44/12</f>
        <v>9.9100043117158139E-21</v>
      </c>
      <c r="ED173" s="22">
        <f t="shared" si="178"/>
        <v>0.840372325865689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5.6843418860808015E-14</v>
      </c>
      <c r="EK173" s="17">
        <f>EJ173*VLOOKUP('Données projet'!$B$15,Paramètres!$A$1:$I$89,3,0)*VLOOKUP('Données projet'!$B$15,Paramètres!$A$1:$I$89,5,0)</f>
        <v>4.9658410716801891E-14</v>
      </c>
      <c r="EL173" s="13">
        <f t="shared" si="179"/>
        <v>8.0934058173791862E-13</v>
      </c>
      <c r="EM173" s="20">
        <f t="shared" si="180"/>
        <v>1.4960899118586383E-12</v>
      </c>
      <c r="EN173" s="59">
        <f t="shared" si="128"/>
        <v>293.33333333333479</v>
      </c>
      <c r="EO173" s="59">
        <f ca="1">AVERAGE(OFFSET($EN$3,0,0,'Données projet'!$E$15+1,1))-AVERAGE(OFFSET($H$3,0,0,'Données projet'!$E$15+1,1))</f>
        <v>255.2813753128475</v>
      </c>
      <c r="EP173" s="59">
        <f t="shared" si="154"/>
        <v>317.03005098025352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0.35254954252837922</v>
      </c>
      <c r="EW173" s="21">
        <f>EXP(-LN(2)/25)*EW172+(1-EXP(-LN(2)/25))/(LN(2)/25)*Calculateur!ER173*Calculateur!ET173*VLOOKUP('Données projet'!$B$15,Paramètres!$A$1:$I$89,3,0)*0.475*44/12</f>
        <v>0.3635952883117331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0.71614483084011238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1.7053025658242404E-13</v>
      </c>
      <c r="O174" s="13">
        <f>N174*VLOOKUP('Données projet'!$B$9,Paramètres!$A$1:$I$89,3,0)*VLOOKUP('Données projet'!$B$9,Paramètres!$A$1:$I$89,5,0)</f>
        <v>1.250327841262333E-13</v>
      </c>
      <c r="P174" s="13">
        <f t="shared" si="141"/>
        <v>1.8301318724634299E-12</v>
      </c>
      <c r="Q174" s="20">
        <f t="shared" si="162"/>
        <v>3.405245110226996E-12</v>
      </c>
      <c r="R174" s="59">
        <f t="shared" si="109"/>
        <v>293.33333333333672</v>
      </c>
      <c r="S174" s="59">
        <f ca="1">AVERAGE(OFFSET($R$3,0,0,'Données projet'!$E$9+1,1))-AVERAGE(OFFSET($H$3,0,0,'Données projet'!$E$9+1,1))</f>
        <v>193.60868637458515</v>
      </c>
      <c r="T174" s="59">
        <f t="shared" si="142"/>
        <v>272.97841038165217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-1.3567387213697657E-13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281.79835088425858</v>
      </c>
      <c r="AO174" s="59">
        <f t="shared" si="144"/>
        <v>345.4750813433123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343.6089004382095</v>
      </c>
      <c r="BJ174" s="59">
        <f t="shared" si="146"/>
        <v>278.21741231699929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4.4337866711430253E-14</v>
      </c>
      <c r="CA174" s="13">
        <f t="shared" si="170"/>
        <v>7.3222115536967035E-13</v>
      </c>
      <c r="CB174" s="20">
        <f t="shared" si="171"/>
        <v>1.3525069634579169E-12</v>
      </c>
      <c r="CC174" s="59">
        <f t="shared" si="119"/>
        <v>293.33333333333468</v>
      </c>
      <c r="CD174" s="59">
        <f ca="1">AVERAGE(OFFSET($CC$3,0,0,'Données projet'!$E$12+1,1))-AVERAGE(OFFSET($H$3,0,0,'Données projet'!$E$12+1,1))</f>
        <v>288.82868507674738</v>
      </c>
      <c r="CE174" s="59">
        <f t="shared" si="148"/>
        <v>283.48738729114024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6.2879467183237434E-2</v>
      </c>
      <c r="CM174" s="21">
        <f>EXP(-LN(2)/2)*CM173+(1-EXP(-LN(2)/2))/(LN(2)/2)*CG174*CJ174*VLOOKUP('Données projet'!$B$12,Paramètres!$A$1:$I$89,3,0)*0.475*44/12</f>
        <v>1.9586071109281619E-21</v>
      </c>
      <c r="CN174" s="22">
        <f t="shared" si="172"/>
        <v>6.2879467183237434E-2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-5.6843418860808015E-14</v>
      </c>
      <c r="CU174" s="17">
        <f>CT174*VLOOKUP('Données projet'!$B$13,Paramètres!$A$1:$I$89,3,0)*VLOOKUP('Données projet'!$B$13,Paramètres!$A$1:$I$89,5,0)</f>
        <v>-4.8771653382573282E-14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273.73158910361786</v>
      </c>
      <c r="CZ174" s="59">
        <f t="shared" si="150"/>
        <v>256.77417912163997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-3.4106051316484809E-13</v>
      </c>
      <c r="DP174" s="17">
        <f>DO174*VLOOKUP('Données projet'!$B$14,Paramètres!$A$1:$I$89,3,0)*VLOOKUP('Données projet'!$B$14,Paramètres!$A$1:$I$89,5,0)</f>
        <v>-1.9065282685915009E-13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534.78683721545372</v>
      </c>
      <c r="DU174" s="59">
        <f t="shared" si="152"/>
        <v>710.59298755711075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0.33487815055720216</v>
      </c>
      <c r="EB174" s="21">
        <f>EXP(-LN(2)/25)*EB173+(1-EXP(-LN(2)/25))/(LN(2)/25)*Calculateur!DW174*Calculateur!DY174*VLOOKUP('Données projet'!$B$14,Paramètres!$A$1:$I$89,3,0)*0.475*44/12</f>
        <v>0.48515646848139282</v>
      </c>
      <c r="EC174" s="21">
        <f>EXP(-LN(2)/2)*EC173+(1-EXP(-LN(2)/2))/(LN(2)/2)*DW174*DZ174*VLOOKUP('Données projet'!$B$14,Paramètres!$A$1:$I$89,3,0)*0.475*44/12</f>
        <v>7.0074312504021765E-21</v>
      </c>
      <c r="ED174" s="22">
        <f t="shared" si="178"/>
        <v>0.82003461903859498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5.6843418860808015E-14</v>
      </c>
      <c r="EK174" s="17">
        <f>EJ174*VLOOKUP('Données projet'!$B$15,Paramètres!$A$1:$I$89,3,0)*VLOOKUP('Données projet'!$B$15,Paramètres!$A$1:$I$89,5,0)</f>
        <v>4.9658410716801891E-14</v>
      </c>
      <c r="EL174" s="13">
        <f t="shared" si="179"/>
        <v>8.0934058173791862E-13</v>
      </c>
      <c r="EM174" s="20">
        <f t="shared" si="180"/>
        <v>1.4960899118586383E-12</v>
      </c>
      <c r="EN174" s="59">
        <f t="shared" si="128"/>
        <v>293.33333333333479</v>
      </c>
      <c r="EO174" s="59">
        <f ca="1">AVERAGE(OFFSET($EN$3,0,0,'Données projet'!$E$15+1,1))-AVERAGE(OFFSET($H$3,0,0,'Données projet'!$E$15+1,1))</f>
        <v>255.2813753128475</v>
      </c>
      <c r="EP174" s="59">
        <f t="shared" si="154"/>
        <v>317.03005098025352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0.34563626103338579</v>
      </c>
      <c r="EW174" s="21">
        <f>EXP(-LN(2)/25)*EW173+(1-EXP(-LN(2)/25))/(LN(2)/25)*Calculateur!ER174*Calculateur!ET174*VLOOKUP('Données projet'!$B$15,Paramètres!$A$1:$I$89,3,0)*0.475*44/12</f>
        <v>0.35365275603220353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0.69928901706558932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1.7053025658242404E-13</v>
      </c>
      <c r="O175" s="13">
        <f>N175*VLOOKUP('Données projet'!$B$9,Paramètres!$A$1:$I$89,3,0)*VLOOKUP('Données projet'!$B$9,Paramètres!$A$1:$I$89,5,0)</f>
        <v>1.250327841262333E-13</v>
      </c>
      <c r="P175" s="13">
        <f t="shared" si="141"/>
        <v>1.8301318724634299E-12</v>
      </c>
      <c r="Q175" s="20">
        <f t="shared" si="162"/>
        <v>3.405245110226996E-12</v>
      </c>
      <c r="R175" s="59">
        <f t="shared" si="109"/>
        <v>293.33333333333672</v>
      </c>
      <c r="S175" s="59">
        <f ca="1">AVERAGE(OFFSET($R$3,0,0,'Données projet'!$E$9+1,1))-AVERAGE(OFFSET($H$3,0,0,'Données projet'!$E$9+1,1))</f>
        <v>193.60868637458515</v>
      </c>
      <c r="T175" s="59">
        <f t="shared" si="142"/>
        <v>272.97841038165217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-1.3567387213697657E-13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281.79835088425858</v>
      </c>
      <c r="AO175" s="59">
        <f t="shared" si="144"/>
        <v>345.4750813433123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343.6089004382095</v>
      </c>
      <c r="BJ175" s="59">
        <f t="shared" si="146"/>
        <v>278.21741231699929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4.4337866711430253E-14</v>
      </c>
      <c r="CA175" s="13">
        <f t="shared" si="170"/>
        <v>7.3222115536967035E-13</v>
      </c>
      <c r="CB175" s="20">
        <f t="shared" si="171"/>
        <v>1.3525069634579169E-12</v>
      </c>
      <c r="CC175" s="59">
        <f t="shared" si="119"/>
        <v>293.33333333333468</v>
      </c>
      <c r="CD175" s="59">
        <f ca="1">AVERAGE(OFFSET($CC$3,0,0,'Données projet'!$E$12+1,1))-AVERAGE(OFFSET($H$3,0,0,'Données projet'!$E$12+1,1))</f>
        <v>288.82868507674738</v>
      </c>
      <c r="CE175" s="59">
        <f t="shared" si="148"/>
        <v>283.48738729114024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6.1160024846424341E-2</v>
      </c>
      <c r="CM175" s="21">
        <f>EXP(-LN(2)/2)*CM174+(1-EXP(-LN(2)/2))/(LN(2)/2)*CG175*CJ175*VLOOKUP('Données projet'!$B$12,Paramètres!$A$1:$I$89,3,0)*0.475*44/12</f>
        <v>1.3849443698174958E-21</v>
      </c>
      <c r="CN175" s="22">
        <f t="shared" si="172"/>
        <v>6.1160024846424341E-2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-5.6843418860808015E-14</v>
      </c>
      <c r="CU175" s="17">
        <f>CT175*VLOOKUP('Données projet'!$B$13,Paramètres!$A$1:$I$89,3,0)*VLOOKUP('Données projet'!$B$13,Paramètres!$A$1:$I$89,5,0)</f>
        <v>-4.8771653382573282E-14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273.73158910361786</v>
      </c>
      <c r="CZ175" s="59">
        <f t="shared" si="150"/>
        <v>256.77417912163997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-3.4106051316484809E-13</v>
      </c>
      <c r="DP175" s="17">
        <f>DO175*VLOOKUP('Données projet'!$B$14,Paramètres!$A$1:$I$89,3,0)*VLOOKUP('Données projet'!$B$14,Paramètres!$A$1:$I$89,5,0)</f>
        <v>-1.9065282685915009E-13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534.78683721545372</v>
      </c>
      <c r="DU175" s="59">
        <f t="shared" si="152"/>
        <v>710.59298755711075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0.32831139428027872</v>
      </c>
      <c r="EB175" s="21">
        <f>EXP(-LN(2)/25)*EB174+(1-EXP(-LN(2)/25))/(LN(2)/25)*Calculateur!DW175*Calculateur!DY175*VLOOKUP('Données projet'!$B$14,Paramètres!$A$1:$I$89,3,0)*0.475*44/12</f>
        <v>0.47188983933749928</v>
      </c>
      <c r="EC175" s="21">
        <f>EXP(-LN(2)/2)*EC174+(1-EXP(-LN(2)/2))/(LN(2)/2)*DW175*DZ175*VLOOKUP('Données projet'!$B$14,Paramètres!$A$1:$I$89,3,0)*0.475*44/12</f>
        <v>4.9550021558579069E-21</v>
      </c>
      <c r="ED175" s="22">
        <f t="shared" si="178"/>
        <v>0.80020123361777795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5.6843418860808015E-14</v>
      </c>
      <c r="EK175" s="17">
        <f>EJ175*VLOOKUP('Données projet'!$B$15,Paramètres!$A$1:$I$89,3,0)*VLOOKUP('Données projet'!$B$15,Paramètres!$A$1:$I$89,5,0)</f>
        <v>4.9658410716801891E-14</v>
      </c>
      <c r="EL175" s="13">
        <f t="shared" si="179"/>
        <v>8.0934058173791862E-13</v>
      </c>
      <c r="EM175" s="20">
        <f t="shared" si="180"/>
        <v>1.4960899118586383E-12</v>
      </c>
      <c r="EN175" s="59">
        <f t="shared" si="128"/>
        <v>293.33333333333479</v>
      </c>
      <c r="EO175" s="59">
        <f ca="1">AVERAGE(OFFSET($EN$3,0,0,'Données projet'!$E$15+1,1))-AVERAGE(OFFSET($H$3,0,0,'Données projet'!$E$15+1,1))</f>
        <v>255.2813753128475</v>
      </c>
      <c r="EP175" s="59">
        <f t="shared" si="154"/>
        <v>317.03005098025352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0.33885854477182387</v>
      </c>
      <c r="EW175" s="21">
        <f>EXP(-LN(2)/25)*EW174+(1-EXP(-LN(2)/25))/(LN(2)/25)*Calculateur!ER175*Calculateur!ET175*VLOOKUP('Données projet'!$B$15,Paramètres!$A$1:$I$89,3,0)*0.475*44/12</f>
        <v>0.34398210282071279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0.6828406475925366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1.7053025658242404E-13</v>
      </c>
      <c r="O176" s="13">
        <f>N176*VLOOKUP('Données projet'!$B$9,Paramètres!$A$1:$I$89,3,0)*VLOOKUP('Données projet'!$B$9,Paramètres!$A$1:$I$89,5,0)</f>
        <v>1.250327841262333E-13</v>
      </c>
      <c r="P176" s="13">
        <f t="shared" si="141"/>
        <v>1.8301318724634299E-12</v>
      </c>
      <c r="Q176" s="20">
        <f t="shared" si="162"/>
        <v>3.405245110226996E-12</v>
      </c>
      <c r="R176" s="59">
        <f t="shared" si="109"/>
        <v>293.33333333333672</v>
      </c>
      <c r="S176" s="59">
        <f ca="1">AVERAGE(OFFSET($R$3,0,0,'Données projet'!$E$9+1,1))-AVERAGE(OFFSET($H$3,0,0,'Données projet'!$E$9+1,1))</f>
        <v>193.60868637458515</v>
      </c>
      <c r="T176" s="59">
        <f t="shared" si="142"/>
        <v>272.97841038165217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-1.3567387213697657E-13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281.79835088425858</v>
      </c>
      <c r="AO176" s="59">
        <f t="shared" si="144"/>
        <v>345.4750813433123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343.6089004382095</v>
      </c>
      <c r="BJ176" s="59">
        <f t="shared" si="146"/>
        <v>278.21741231699929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4.4337866711430253E-14</v>
      </c>
      <c r="CA176" s="13">
        <f t="shared" si="170"/>
        <v>7.3222115536967035E-13</v>
      </c>
      <c r="CB176" s="20">
        <f t="shared" si="171"/>
        <v>1.3525069634579169E-12</v>
      </c>
      <c r="CC176" s="59">
        <f t="shared" si="119"/>
        <v>293.33333333333468</v>
      </c>
      <c r="CD176" s="59">
        <f ca="1">AVERAGE(OFFSET($CC$3,0,0,'Données projet'!$E$12+1,1))-AVERAGE(OFFSET($H$3,0,0,'Données projet'!$E$12+1,1))</f>
        <v>288.82868507674738</v>
      </c>
      <c r="CE176" s="59">
        <f t="shared" si="148"/>
        <v>283.48738729114024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5.9487600750732943E-2</v>
      </c>
      <c r="CM176" s="21">
        <f>EXP(-LN(2)/2)*CM175+(1-EXP(-LN(2)/2))/(LN(2)/2)*CG176*CJ176*VLOOKUP('Données projet'!$B$12,Paramètres!$A$1:$I$89,3,0)*0.475*44/12</f>
        <v>9.7930355546408093E-22</v>
      </c>
      <c r="CN176" s="22">
        <f t="shared" si="172"/>
        <v>5.9487600750732943E-2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-5.6843418860808015E-14</v>
      </c>
      <c r="CU176" s="17">
        <f>CT176*VLOOKUP('Données projet'!$B$13,Paramètres!$A$1:$I$89,3,0)*VLOOKUP('Données projet'!$B$13,Paramètres!$A$1:$I$89,5,0)</f>
        <v>-4.8771653382573282E-14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273.73158910361786</v>
      </c>
      <c r="CZ176" s="59">
        <f t="shared" si="150"/>
        <v>256.77417912163997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-3.4106051316484809E-13</v>
      </c>
      <c r="DP176" s="17">
        <f>DO176*VLOOKUP('Données projet'!$B$14,Paramètres!$A$1:$I$89,3,0)*VLOOKUP('Données projet'!$B$14,Paramètres!$A$1:$I$89,5,0)</f>
        <v>-1.9065282685915009E-13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534.78683721545372</v>
      </c>
      <c r="DU176" s="59">
        <f t="shared" si="152"/>
        <v>710.59298755711075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0.32187340808861992</v>
      </c>
      <c r="EB176" s="21">
        <f>EXP(-LN(2)/25)*EB175+(1-EXP(-LN(2)/25))/(LN(2)/25)*Calculateur!DW176*Calculateur!DY176*VLOOKUP('Données projet'!$B$14,Paramètres!$A$1:$I$89,3,0)*0.475*44/12</f>
        <v>0.45898598686520725</v>
      </c>
      <c r="EC176" s="21">
        <f>EXP(-LN(2)/2)*EC175+(1-EXP(-LN(2)/2))/(LN(2)/2)*DW176*DZ176*VLOOKUP('Données projet'!$B$14,Paramètres!$A$1:$I$89,3,0)*0.475*44/12</f>
        <v>3.5037156252010882E-21</v>
      </c>
      <c r="ED176" s="22">
        <f t="shared" si="178"/>
        <v>0.78085939495382717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5.6843418860808015E-14</v>
      </c>
      <c r="EK176" s="17">
        <f>EJ176*VLOOKUP('Données projet'!$B$15,Paramètres!$A$1:$I$89,3,0)*VLOOKUP('Données projet'!$B$15,Paramètres!$A$1:$I$89,5,0)</f>
        <v>4.9658410716801891E-14</v>
      </c>
      <c r="EL176" s="13">
        <f t="shared" si="179"/>
        <v>8.0934058173791862E-13</v>
      </c>
      <c r="EM176" s="20">
        <f t="shared" si="180"/>
        <v>1.4960899118586383E-12</v>
      </c>
      <c r="EN176" s="59">
        <f t="shared" si="128"/>
        <v>293.33333333333479</v>
      </c>
      <c r="EO176" s="59">
        <f ca="1">AVERAGE(OFFSET($EN$3,0,0,'Données projet'!$E$15+1,1))-AVERAGE(OFFSET($H$3,0,0,'Données projet'!$E$15+1,1))</f>
        <v>255.2813753128475</v>
      </c>
      <c r="EP176" s="59">
        <f t="shared" si="154"/>
        <v>317.03005098025352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0.33221373539215243</v>
      </c>
      <c r="EW176" s="21">
        <f>EXP(-LN(2)/25)*EW175+(1-EXP(-LN(2)/25))/(LN(2)/25)*Calculateur!ER176*Calculateur!ET176*VLOOKUP('Données projet'!$B$15,Paramètres!$A$1:$I$89,3,0)*0.475*44/12</f>
        <v>0.33457589412984778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0.66678962952200016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1.7053025658242404E-13</v>
      </c>
      <c r="O177" s="13">
        <f>N177*VLOOKUP('Données projet'!$B$9,Paramètres!$A$1:$I$89,3,0)*VLOOKUP('Données projet'!$B$9,Paramètres!$A$1:$I$89,5,0)</f>
        <v>1.250327841262333E-13</v>
      </c>
      <c r="P177" s="13">
        <f t="shared" si="141"/>
        <v>1.8301318724634299E-12</v>
      </c>
      <c r="Q177" s="20">
        <f t="shared" si="162"/>
        <v>3.405245110226996E-12</v>
      </c>
      <c r="R177" s="59">
        <f t="shared" si="109"/>
        <v>293.33333333333672</v>
      </c>
      <c r="S177" s="59">
        <f ca="1">AVERAGE(OFFSET($R$3,0,0,'Données projet'!$E$9+1,1))-AVERAGE(OFFSET($H$3,0,0,'Données projet'!$E$9+1,1))</f>
        <v>193.60868637458515</v>
      </c>
      <c r="T177" s="59">
        <f t="shared" si="142"/>
        <v>272.97841038165217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-1.3567387213697657E-13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281.79835088425858</v>
      </c>
      <c r="AO177" s="59">
        <f t="shared" si="144"/>
        <v>345.4750813433123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343.6089004382095</v>
      </c>
      <c r="BJ177" s="59">
        <f t="shared" si="146"/>
        <v>278.21741231699929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4.4337866711430253E-14</v>
      </c>
      <c r="CA177" s="13">
        <f t="shared" si="170"/>
        <v>7.3222115536967035E-13</v>
      </c>
      <c r="CB177" s="20">
        <f t="shared" si="171"/>
        <v>1.3525069634579169E-12</v>
      </c>
      <c r="CC177" s="59">
        <f t="shared" si="119"/>
        <v>293.33333333333468</v>
      </c>
      <c r="CD177" s="59">
        <f ca="1">AVERAGE(OFFSET($CC$3,0,0,'Données projet'!$E$12+1,1))-AVERAGE(OFFSET($H$3,0,0,'Données projet'!$E$12+1,1))</f>
        <v>288.82868507674738</v>
      </c>
      <c r="CE177" s="59">
        <f t="shared" si="148"/>
        <v>283.48738729114024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5.7860909179887191E-2</v>
      </c>
      <c r="CM177" s="21">
        <f>EXP(-LN(2)/2)*CM176+(1-EXP(-LN(2)/2))/(LN(2)/2)*CG177*CJ177*VLOOKUP('Données projet'!$B$12,Paramètres!$A$1:$I$89,3,0)*0.475*44/12</f>
        <v>6.9247218490874789E-22</v>
      </c>
      <c r="CN177" s="22">
        <f t="shared" si="172"/>
        <v>5.7860909179887191E-2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-5.6843418860808015E-14</v>
      </c>
      <c r="CU177" s="17">
        <f>CT177*VLOOKUP('Données projet'!$B$13,Paramètres!$A$1:$I$89,3,0)*VLOOKUP('Données projet'!$B$13,Paramètres!$A$1:$I$89,5,0)</f>
        <v>-4.8771653382573282E-14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273.73158910361786</v>
      </c>
      <c r="CZ177" s="59">
        <f t="shared" si="150"/>
        <v>256.77417912163997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-3.4106051316484809E-13</v>
      </c>
      <c r="DP177" s="17">
        <f>DO177*VLOOKUP('Données projet'!$B$14,Paramètres!$A$1:$I$89,3,0)*VLOOKUP('Données projet'!$B$14,Paramètres!$A$1:$I$89,5,0)</f>
        <v>-1.9065282685915009E-13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534.78683721545372</v>
      </c>
      <c r="DU177" s="59">
        <f t="shared" si="152"/>
        <v>710.59298755711075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0.31556166687939569</v>
      </c>
      <c r="EB177" s="21">
        <f>EXP(-LN(2)/25)*EB176+(1-EXP(-LN(2)/25))/(LN(2)/25)*Calculateur!DW177*Calculateur!DY177*VLOOKUP('Données projet'!$B$14,Paramètres!$A$1:$I$89,3,0)*0.475*44/12</f>
        <v>0.44643499091735411</v>
      </c>
      <c r="EC177" s="21">
        <f>EXP(-LN(2)/2)*EC176+(1-EXP(-LN(2)/2))/(LN(2)/2)*DW177*DZ177*VLOOKUP('Données projet'!$B$14,Paramètres!$A$1:$I$89,3,0)*0.475*44/12</f>
        <v>2.4775010779289535E-21</v>
      </c>
      <c r="ED177" s="22">
        <f t="shared" si="178"/>
        <v>0.76199665779674985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5.6843418860808015E-14</v>
      </c>
      <c r="EK177" s="17">
        <f>EJ177*VLOOKUP('Données projet'!$B$15,Paramètres!$A$1:$I$89,3,0)*VLOOKUP('Données projet'!$B$15,Paramètres!$A$1:$I$89,5,0)</f>
        <v>4.9658410716801891E-14</v>
      </c>
      <c r="EL177" s="13">
        <f t="shared" si="179"/>
        <v>8.0934058173791862E-13</v>
      </c>
      <c r="EM177" s="20">
        <f t="shared" si="180"/>
        <v>1.4960899118586383E-12</v>
      </c>
      <c r="EN177" s="59">
        <f t="shared" si="128"/>
        <v>293.33333333333479</v>
      </c>
      <c r="EO177" s="59">
        <f ca="1">AVERAGE(OFFSET($EN$3,0,0,'Données projet'!$E$15+1,1))-AVERAGE(OFFSET($H$3,0,0,'Données projet'!$E$15+1,1))</f>
        <v>255.2813753128475</v>
      </c>
      <c r="EP177" s="59">
        <f t="shared" si="154"/>
        <v>317.03005098025352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0.32569922667148282</v>
      </c>
      <c r="EW177" s="21">
        <f>EXP(-LN(2)/25)*EW176+(1-EXP(-LN(2)/25))/(LN(2)/25)*Calculateur!ER177*Calculateur!ET177*VLOOKUP('Données projet'!$B$15,Paramètres!$A$1:$I$89,3,0)*0.475*44/12</f>
        <v>0.32542689871028552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0.65112612538176839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1.7053025658242404E-13</v>
      </c>
      <c r="O178" s="13">
        <f>N178*VLOOKUP('Données projet'!$B$9,Paramètres!$A$1:$I$89,3,0)*VLOOKUP('Données projet'!$B$9,Paramètres!$A$1:$I$89,5,0)</f>
        <v>1.250327841262333E-13</v>
      </c>
      <c r="P178" s="13">
        <f t="shared" si="141"/>
        <v>1.8301318724634299E-12</v>
      </c>
      <c r="Q178" s="20">
        <f t="shared" si="162"/>
        <v>3.405245110226996E-12</v>
      </c>
      <c r="R178" s="59">
        <f t="shared" si="109"/>
        <v>293.33333333333672</v>
      </c>
      <c r="S178" s="59">
        <f ca="1">AVERAGE(OFFSET($R$3,0,0,'Données projet'!$E$9+1,1))-AVERAGE(OFFSET($H$3,0,0,'Données projet'!$E$9+1,1))</f>
        <v>193.60868637458515</v>
      </c>
      <c r="T178" s="59">
        <f t="shared" si="142"/>
        <v>272.97841038165217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-1.3567387213697657E-13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281.79835088425858</v>
      </c>
      <c r="AO178" s="59">
        <f t="shared" si="144"/>
        <v>345.4750813433123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343.6089004382095</v>
      </c>
      <c r="BJ178" s="59">
        <f t="shared" si="146"/>
        <v>278.21741231699929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4.4337866711430253E-14</v>
      </c>
      <c r="CA178" s="13">
        <f t="shared" si="170"/>
        <v>7.3222115536967035E-13</v>
      </c>
      <c r="CB178" s="20">
        <f t="shared" si="171"/>
        <v>1.3525069634579169E-12</v>
      </c>
      <c r="CC178" s="59">
        <f t="shared" si="119"/>
        <v>293.33333333333468</v>
      </c>
      <c r="CD178" s="59">
        <f ca="1">AVERAGE(OFFSET($CC$3,0,0,'Données projet'!$E$12+1,1))-AVERAGE(OFFSET($H$3,0,0,'Données projet'!$E$12+1,1))</f>
        <v>288.82868507674738</v>
      </c>
      <c r="CE178" s="59">
        <f t="shared" si="148"/>
        <v>283.48738729114024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5.6278699575590202E-2</v>
      </c>
      <c r="CM178" s="21">
        <f>EXP(-LN(2)/2)*CM177+(1-EXP(-LN(2)/2))/(LN(2)/2)*CG178*CJ178*VLOOKUP('Données projet'!$B$12,Paramètres!$A$1:$I$89,3,0)*0.475*44/12</f>
        <v>4.8965177773204047E-22</v>
      </c>
      <c r="CN178" s="22">
        <f t="shared" si="172"/>
        <v>5.6278699575590202E-2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-5.6843418860808015E-14</v>
      </c>
      <c r="CU178" s="17">
        <f>CT178*VLOOKUP('Données projet'!$B$13,Paramètres!$A$1:$I$89,3,0)*VLOOKUP('Données projet'!$B$13,Paramètres!$A$1:$I$89,5,0)</f>
        <v>-4.8771653382573282E-14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273.73158910361786</v>
      </c>
      <c r="CZ178" s="59">
        <f t="shared" si="150"/>
        <v>256.77417912163997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-3.4106051316484809E-13</v>
      </c>
      <c r="DP178" s="17">
        <f>DO178*VLOOKUP('Données projet'!$B$14,Paramètres!$A$1:$I$89,3,0)*VLOOKUP('Données projet'!$B$14,Paramètres!$A$1:$I$89,5,0)</f>
        <v>-1.9065282685915009E-13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534.78683721545372</v>
      </c>
      <c r="DU178" s="59">
        <f t="shared" si="152"/>
        <v>710.59298755711075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0.30937369506550233</v>
      </c>
      <c r="EB178" s="21">
        <f>EXP(-LN(2)/25)*EB177+(1-EXP(-LN(2)/25))/(LN(2)/25)*Calculateur!DW178*Calculateur!DY178*VLOOKUP('Données projet'!$B$14,Paramètres!$A$1:$I$89,3,0)*0.475*44/12</f>
        <v>0.43422720261372322</v>
      </c>
      <c r="EC178" s="21">
        <f>EXP(-LN(2)/2)*EC177+(1-EXP(-LN(2)/2))/(LN(2)/2)*DW178*DZ178*VLOOKUP('Données projet'!$B$14,Paramètres!$A$1:$I$89,3,0)*0.475*44/12</f>
        <v>1.7518578126005441E-21</v>
      </c>
      <c r="ED178" s="22">
        <f t="shared" si="178"/>
        <v>0.74360089767922555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5.6843418860808015E-14</v>
      </c>
      <c r="EK178" s="17">
        <f>EJ178*VLOOKUP('Données projet'!$B$15,Paramètres!$A$1:$I$89,3,0)*VLOOKUP('Données projet'!$B$15,Paramètres!$A$1:$I$89,5,0)</f>
        <v>4.9658410716801891E-14</v>
      </c>
      <c r="EL178" s="13">
        <f t="shared" si="179"/>
        <v>8.0934058173791862E-13</v>
      </c>
      <c r="EM178" s="20">
        <f t="shared" si="180"/>
        <v>1.4960899118586383E-12</v>
      </c>
      <c r="EN178" s="59">
        <f t="shared" si="128"/>
        <v>293.33333333333479</v>
      </c>
      <c r="EO178" s="59">
        <f ca="1">AVERAGE(OFFSET($EN$3,0,0,'Données projet'!$E$15+1,1))-AVERAGE(OFFSET($H$3,0,0,'Données projet'!$E$15+1,1))</f>
        <v>255.2813753128475</v>
      </c>
      <c r="EP178" s="59">
        <f t="shared" si="154"/>
        <v>317.03005098025352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0.31931246349336756</v>
      </c>
      <c r="EW178" s="21">
        <f>EXP(-LN(2)/25)*EW177+(1-EXP(-LN(2)/25))/(LN(2)/25)*Calculateur!ER178*Calculateur!ET178*VLOOKUP('Données projet'!$B$15,Paramètres!$A$1:$I$89,3,0)*0.475*44/12</f>
        <v>0.31652808305159591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0.63584054654496347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1.7053025658242404E-13</v>
      </c>
      <c r="O179" s="13">
        <f>N179*VLOOKUP('Données projet'!$B$9,Paramètres!$A$1:$I$89,3,0)*VLOOKUP('Données projet'!$B$9,Paramètres!$A$1:$I$89,5,0)</f>
        <v>1.250327841262333E-13</v>
      </c>
      <c r="P179" s="13">
        <f t="shared" si="141"/>
        <v>1.8301318724634299E-12</v>
      </c>
      <c r="Q179" s="20">
        <f t="shared" si="162"/>
        <v>3.405245110226996E-12</v>
      </c>
      <c r="R179" s="59">
        <f t="shared" si="109"/>
        <v>293.33333333333672</v>
      </c>
      <c r="S179" s="59">
        <f ca="1">AVERAGE(OFFSET($R$3,0,0,'Données projet'!$E$9+1,1))-AVERAGE(OFFSET($H$3,0,0,'Données projet'!$E$9+1,1))</f>
        <v>193.60868637458515</v>
      </c>
      <c r="T179" s="59">
        <f t="shared" si="142"/>
        <v>272.97841038165217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-1.3567387213697657E-13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281.79835088425858</v>
      </c>
      <c r="AO179" s="59">
        <f t="shared" si="144"/>
        <v>345.4750813433123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343.6089004382095</v>
      </c>
      <c r="BJ179" s="59">
        <f t="shared" si="146"/>
        <v>278.21741231699929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4.4337866711430253E-14</v>
      </c>
      <c r="CA179" s="13">
        <f t="shared" si="170"/>
        <v>7.3222115536967035E-13</v>
      </c>
      <c r="CB179" s="20">
        <f t="shared" si="171"/>
        <v>1.3525069634579169E-12</v>
      </c>
      <c r="CC179" s="59">
        <f t="shared" si="119"/>
        <v>293.33333333333468</v>
      </c>
      <c r="CD179" s="59">
        <f ca="1">AVERAGE(OFFSET($CC$3,0,0,'Données projet'!$E$12+1,1))-AVERAGE(OFFSET($H$3,0,0,'Données projet'!$E$12+1,1))</f>
        <v>288.82868507674738</v>
      </c>
      <c r="CE179" s="59">
        <f t="shared" si="148"/>
        <v>283.48738729114024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5.4739755576127501E-2</v>
      </c>
      <c r="CM179" s="21">
        <f>EXP(-LN(2)/2)*CM178+(1-EXP(-LN(2)/2))/(LN(2)/2)*CG179*CJ179*VLOOKUP('Données projet'!$B$12,Paramètres!$A$1:$I$89,3,0)*0.475*44/12</f>
        <v>3.4623609245437394E-22</v>
      </c>
      <c r="CN179" s="22">
        <f t="shared" si="172"/>
        <v>5.4739755576127501E-2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-5.6843418860808015E-14</v>
      </c>
      <c r="CU179" s="17">
        <f>CT179*VLOOKUP('Données projet'!$B$13,Paramètres!$A$1:$I$89,3,0)*VLOOKUP('Données projet'!$B$13,Paramètres!$A$1:$I$89,5,0)</f>
        <v>-4.8771653382573282E-14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273.73158910361786</v>
      </c>
      <c r="CZ179" s="59">
        <f t="shared" si="150"/>
        <v>256.77417912163997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-3.4106051316484809E-13</v>
      </c>
      <c r="DP179" s="17">
        <f>DO179*VLOOKUP('Données projet'!$B$14,Paramètres!$A$1:$I$89,3,0)*VLOOKUP('Données projet'!$B$14,Paramètres!$A$1:$I$89,5,0)</f>
        <v>-1.9065282685915009E-13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534.78683721545372</v>
      </c>
      <c r="DU179" s="59">
        <f t="shared" si="152"/>
        <v>710.59298755711075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0.30330706560458931</v>
      </c>
      <c r="EB179" s="21">
        <f>EXP(-LN(2)/25)*EB178+(1-EXP(-LN(2)/25))/(LN(2)/25)*Calculateur!DW179*Calculateur!DY179*VLOOKUP('Données projet'!$B$14,Paramètres!$A$1:$I$89,3,0)*0.475*44/12</f>
        <v>0.42235323692323479</v>
      </c>
      <c r="EC179" s="21">
        <f>EXP(-LN(2)/2)*EC178+(1-EXP(-LN(2)/2))/(LN(2)/2)*DW179*DZ179*VLOOKUP('Données projet'!$B$14,Paramètres!$A$1:$I$89,3,0)*0.475*44/12</f>
        <v>1.2387505389644767E-21</v>
      </c>
      <c r="ED179" s="22">
        <f t="shared" si="178"/>
        <v>0.7256603025278241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5.6843418860808015E-14</v>
      </c>
      <c r="EK179" s="17">
        <f>EJ179*VLOOKUP('Données projet'!$B$15,Paramètres!$A$1:$I$89,3,0)*VLOOKUP('Données projet'!$B$15,Paramètres!$A$1:$I$89,5,0)</f>
        <v>4.9658410716801891E-14</v>
      </c>
      <c r="EL179" s="13">
        <f t="shared" si="179"/>
        <v>8.0934058173791862E-13</v>
      </c>
      <c r="EM179" s="20">
        <f t="shared" si="180"/>
        <v>1.4960899118586383E-12</v>
      </c>
      <c r="EN179" s="59">
        <f t="shared" si="128"/>
        <v>293.33333333333479</v>
      </c>
      <c r="EO179" s="59">
        <f ca="1">AVERAGE(OFFSET($EN$3,0,0,'Données projet'!$E$15+1,1))-AVERAGE(OFFSET($H$3,0,0,'Données projet'!$E$15+1,1))</f>
        <v>255.2813753128475</v>
      </c>
      <c r="EP179" s="59">
        <f t="shared" si="154"/>
        <v>317.03005098025352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0.31305094084563428</v>
      </c>
      <c r="EW179" s="21">
        <f>EXP(-LN(2)/25)*EW178+(1-EXP(-LN(2)/25))/(LN(2)/25)*Calculateur!ER179*Calculateur!ET179*VLOOKUP('Données projet'!$B$15,Paramètres!$A$1:$I$89,3,0)*0.475*44/12</f>
        <v>0.30787260597506155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0.62092354682069584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1.7053025658242404E-13</v>
      </c>
      <c r="O180" s="13">
        <f>N180*VLOOKUP('Données projet'!$B$9,Paramètres!$A$1:$I$89,3,0)*VLOOKUP('Données projet'!$B$9,Paramètres!$A$1:$I$89,5,0)</f>
        <v>1.250327841262333E-13</v>
      </c>
      <c r="P180" s="13">
        <f t="shared" si="141"/>
        <v>1.8301318724634299E-12</v>
      </c>
      <c r="Q180" s="20">
        <f t="shared" si="162"/>
        <v>3.405245110226996E-12</v>
      </c>
      <c r="R180" s="59">
        <f t="shared" si="109"/>
        <v>293.33333333333672</v>
      </c>
      <c r="S180" s="59">
        <f ca="1">AVERAGE(OFFSET($R$3,0,0,'Données projet'!$E$9+1,1))-AVERAGE(OFFSET($H$3,0,0,'Données projet'!$E$9+1,1))</f>
        <v>193.60868637458515</v>
      </c>
      <c r="T180" s="59">
        <f t="shared" si="142"/>
        <v>272.97841038165217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-1.3567387213697657E-13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281.79835088425858</v>
      </c>
      <c r="AO180" s="59">
        <f t="shared" si="144"/>
        <v>345.4750813433123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343.6089004382095</v>
      </c>
      <c r="BJ180" s="59">
        <f t="shared" si="146"/>
        <v>278.21741231699929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4.4337866711430253E-14</v>
      </c>
      <c r="CA180" s="13">
        <f t="shared" si="170"/>
        <v>7.3222115536967035E-13</v>
      </c>
      <c r="CB180" s="20">
        <f t="shared" si="171"/>
        <v>1.3525069634579169E-12</v>
      </c>
      <c r="CC180" s="59">
        <f t="shared" si="119"/>
        <v>293.33333333333468</v>
      </c>
      <c r="CD180" s="59">
        <f ca="1">AVERAGE(OFFSET($CC$3,0,0,'Données projet'!$E$12+1,1))-AVERAGE(OFFSET($H$3,0,0,'Données projet'!$E$12+1,1))</f>
        <v>288.82868507674738</v>
      </c>
      <c r="CE180" s="59">
        <f t="shared" si="148"/>
        <v>283.48738729114024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5.3242894081259658E-2</v>
      </c>
      <c r="CM180" s="21">
        <f>EXP(-LN(2)/2)*CM179+(1-EXP(-LN(2)/2))/(LN(2)/2)*CG180*CJ180*VLOOKUP('Données projet'!$B$12,Paramètres!$A$1:$I$89,3,0)*0.475*44/12</f>
        <v>2.4482588886602023E-22</v>
      </c>
      <c r="CN180" s="22">
        <f t="shared" si="172"/>
        <v>5.3242894081259658E-2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-5.6843418860808015E-14</v>
      </c>
      <c r="CU180" s="17">
        <f>CT180*VLOOKUP('Données projet'!$B$13,Paramètres!$A$1:$I$89,3,0)*VLOOKUP('Données projet'!$B$13,Paramètres!$A$1:$I$89,5,0)</f>
        <v>-4.8771653382573282E-14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273.73158910361786</v>
      </c>
      <c r="CZ180" s="59">
        <f t="shared" si="150"/>
        <v>256.77417912163997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-3.4106051316484809E-13</v>
      </c>
      <c r="DP180" s="17">
        <f>DO180*VLOOKUP('Données projet'!$B$14,Paramètres!$A$1:$I$89,3,0)*VLOOKUP('Données projet'!$B$14,Paramètres!$A$1:$I$89,5,0)</f>
        <v>-1.9065282685915009E-13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534.78683721545372</v>
      </c>
      <c r="DU180" s="59">
        <f t="shared" si="152"/>
        <v>710.59298755711075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0.29735939904712622</v>
      </c>
      <c r="EB180" s="21">
        <f>EXP(-LN(2)/25)*EB179+(1-EXP(-LN(2)/25))/(LN(2)/25)*Calculateur!DW180*Calculateur!DY180*VLOOKUP('Données projet'!$B$14,Paramètres!$A$1:$I$89,3,0)*0.475*44/12</f>
        <v>0.41080396544897751</v>
      </c>
      <c r="EC180" s="21">
        <f>EXP(-LN(2)/2)*EC179+(1-EXP(-LN(2)/2))/(LN(2)/2)*DW180*DZ180*VLOOKUP('Données projet'!$B$14,Paramètres!$A$1:$I$89,3,0)*0.475*44/12</f>
        <v>8.7592890630027206E-22</v>
      </c>
      <c r="ED180" s="22">
        <f t="shared" si="178"/>
        <v>0.70816336449610373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5.6843418860808015E-14</v>
      </c>
      <c r="EK180" s="17">
        <f>EJ180*VLOOKUP('Données projet'!$B$15,Paramètres!$A$1:$I$89,3,0)*VLOOKUP('Données projet'!$B$15,Paramètres!$A$1:$I$89,5,0)</f>
        <v>4.9658410716801891E-14</v>
      </c>
      <c r="EL180" s="13">
        <f t="shared" si="179"/>
        <v>8.0934058173791862E-13</v>
      </c>
      <c r="EM180" s="20">
        <f t="shared" si="180"/>
        <v>1.4960899118586383E-12</v>
      </c>
      <c r="EN180" s="59">
        <f t="shared" si="128"/>
        <v>293.33333333333479</v>
      </c>
      <c r="EO180" s="59">
        <f ca="1">AVERAGE(OFFSET($EN$3,0,0,'Données projet'!$E$15+1,1))-AVERAGE(OFFSET($H$3,0,0,'Données projet'!$E$15+1,1))</f>
        <v>255.2813753128475</v>
      </c>
      <c r="EP180" s="59">
        <f t="shared" si="154"/>
        <v>317.03005098025352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0.30691220283787135</v>
      </c>
      <c r="EW180" s="21">
        <f>EXP(-LN(2)/25)*EW179+(1-EXP(-LN(2)/25))/(LN(2)/25)*Calculateur!ER180*Calculateur!ET180*VLOOKUP('Données projet'!$B$15,Paramètres!$A$1:$I$89,3,0)*0.475*44/12</f>
        <v>0.29945381337435678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0.60636601621222819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1.7053025658242404E-13</v>
      </c>
      <c r="O181" s="13">
        <f>N181*VLOOKUP('Données projet'!$B$9,Paramètres!$A$1:$I$89,3,0)*VLOOKUP('Données projet'!$B$9,Paramètres!$A$1:$I$89,5,0)</f>
        <v>1.250327841262333E-13</v>
      </c>
      <c r="P181" s="13">
        <f t="shared" si="141"/>
        <v>1.8301318724634299E-12</v>
      </c>
      <c r="Q181" s="20">
        <f t="shared" si="162"/>
        <v>3.405245110226996E-12</v>
      </c>
      <c r="R181" s="59">
        <f t="shared" si="109"/>
        <v>293.33333333333672</v>
      </c>
      <c r="S181" s="59">
        <f ca="1">AVERAGE(OFFSET($R$3,0,0,'Données projet'!$E$9+1,1))-AVERAGE(OFFSET($H$3,0,0,'Données projet'!$E$9+1,1))</f>
        <v>193.60868637458515</v>
      </c>
      <c r="T181" s="59">
        <f t="shared" si="142"/>
        <v>272.97841038165217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-1.3567387213697657E-13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281.79835088425858</v>
      </c>
      <c r="AO181" s="59">
        <f t="shared" si="144"/>
        <v>345.4750813433123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343.6089004382095</v>
      </c>
      <c r="BJ181" s="59">
        <f t="shared" si="146"/>
        <v>278.21741231699929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4.4337866711430253E-14</v>
      </c>
      <c r="CA181" s="13">
        <f t="shared" si="170"/>
        <v>7.3222115536967035E-13</v>
      </c>
      <c r="CB181" s="20">
        <f t="shared" si="171"/>
        <v>1.3525069634579169E-12</v>
      </c>
      <c r="CC181" s="59">
        <f t="shared" si="119"/>
        <v>293.33333333333468</v>
      </c>
      <c r="CD181" s="59">
        <f ca="1">AVERAGE(OFFSET($CC$3,0,0,'Données projet'!$E$12+1,1))-AVERAGE(OFFSET($H$3,0,0,'Données projet'!$E$12+1,1))</f>
        <v>288.82868507674738</v>
      </c>
      <c r="CE181" s="59">
        <f t="shared" si="148"/>
        <v>283.48738729114024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5.1786964342685503E-2</v>
      </c>
      <c r="CM181" s="21">
        <f>EXP(-LN(2)/2)*CM180+(1-EXP(-LN(2)/2))/(LN(2)/2)*CG181*CJ181*VLOOKUP('Données projet'!$B$12,Paramètres!$A$1:$I$89,3,0)*0.475*44/12</f>
        <v>1.7311804622718697E-22</v>
      </c>
      <c r="CN181" s="22">
        <f t="shared" si="172"/>
        <v>5.1786964342685503E-2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-5.6843418860808015E-14</v>
      </c>
      <c r="CU181" s="17">
        <f>CT181*VLOOKUP('Données projet'!$B$13,Paramètres!$A$1:$I$89,3,0)*VLOOKUP('Données projet'!$B$13,Paramètres!$A$1:$I$89,5,0)</f>
        <v>-4.8771653382573282E-14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273.73158910361786</v>
      </c>
      <c r="CZ181" s="59">
        <f t="shared" si="150"/>
        <v>256.77417912163997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-3.4106051316484809E-13</v>
      </c>
      <c r="DP181" s="17">
        <f>DO181*VLOOKUP('Données projet'!$B$14,Paramètres!$A$1:$I$89,3,0)*VLOOKUP('Données projet'!$B$14,Paramètres!$A$1:$I$89,5,0)</f>
        <v>-1.9065282685915009E-13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534.78683721545372</v>
      </c>
      <c r="DU181" s="59">
        <f t="shared" si="152"/>
        <v>710.59298755711075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0.29152836260313658</v>
      </c>
      <c r="EB181" s="21">
        <f>EXP(-LN(2)/25)*EB180+(1-EXP(-LN(2)/25))/(LN(2)/25)*Calculateur!DW181*Calculateur!DY181*VLOOKUP('Données projet'!$B$14,Paramètres!$A$1:$I$89,3,0)*0.475*44/12</f>
        <v>0.39957050941053357</v>
      </c>
      <c r="EC181" s="21">
        <f>EXP(-LN(2)/2)*EC180+(1-EXP(-LN(2)/2))/(LN(2)/2)*DW181*DZ181*VLOOKUP('Données projet'!$B$14,Paramètres!$A$1:$I$89,3,0)*0.475*44/12</f>
        <v>6.1937526948223837E-22</v>
      </c>
      <c r="ED181" s="22">
        <f t="shared" si="178"/>
        <v>0.69109887201367015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5.6843418860808015E-14</v>
      </c>
      <c r="EK181" s="17">
        <f>EJ181*VLOOKUP('Données projet'!$B$15,Paramètres!$A$1:$I$89,3,0)*VLOOKUP('Données projet'!$B$15,Paramètres!$A$1:$I$89,5,0)</f>
        <v>4.9658410716801891E-14</v>
      </c>
      <c r="EL181" s="13">
        <f t="shared" si="179"/>
        <v>8.0934058173791862E-13</v>
      </c>
      <c r="EM181" s="20">
        <f t="shared" si="180"/>
        <v>1.4960899118586383E-12</v>
      </c>
      <c r="EN181" s="59">
        <f t="shared" si="128"/>
        <v>293.33333333333479</v>
      </c>
      <c r="EO181" s="59">
        <f ca="1">AVERAGE(OFFSET($EN$3,0,0,'Données projet'!$E$15+1,1))-AVERAGE(OFFSET($H$3,0,0,'Données projet'!$E$15+1,1))</f>
        <v>255.2813753128475</v>
      </c>
      <c r="EP181" s="59">
        <f t="shared" si="154"/>
        <v>317.03005098025352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0.30089384173818018</v>
      </c>
      <c r="EW181" s="21">
        <f>EXP(-LN(2)/25)*EW180+(1-EXP(-LN(2)/25))/(LN(2)/25)*Calculateur!ER181*Calculateur!ET181*VLOOKUP('Données projet'!$B$15,Paramètres!$A$1:$I$89,3,0)*0.475*44/12</f>
        <v>0.29126523310004337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0.5921590748382235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1.7053025658242404E-13</v>
      </c>
      <c r="O182" s="13">
        <f>N182*VLOOKUP('Données projet'!$B$9,Paramètres!$A$1:$I$89,3,0)*VLOOKUP('Données projet'!$B$9,Paramètres!$A$1:$I$89,5,0)</f>
        <v>1.250327841262333E-13</v>
      </c>
      <c r="P182" s="13">
        <f t="shared" si="141"/>
        <v>1.8301318724634299E-12</v>
      </c>
      <c r="Q182" s="20">
        <f t="shared" si="162"/>
        <v>3.405245110226996E-12</v>
      </c>
      <c r="R182" s="59">
        <f t="shared" si="109"/>
        <v>293.33333333333672</v>
      </c>
      <c r="S182" s="59">
        <f ca="1">AVERAGE(OFFSET($R$3,0,0,'Données projet'!$E$9+1,1))-AVERAGE(OFFSET($H$3,0,0,'Données projet'!$E$9+1,1))</f>
        <v>193.60868637458515</v>
      </c>
      <c r="T182" s="59">
        <f t="shared" si="142"/>
        <v>272.97841038165217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-1.3567387213697657E-13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281.79835088425858</v>
      </c>
      <c r="AO182" s="59">
        <f t="shared" si="144"/>
        <v>345.4750813433123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343.6089004382095</v>
      </c>
      <c r="BJ182" s="59">
        <f t="shared" si="146"/>
        <v>278.21741231699929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4.4337866711430253E-14</v>
      </c>
      <c r="CA182" s="13">
        <f t="shared" si="170"/>
        <v>7.3222115536967035E-13</v>
      </c>
      <c r="CB182" s="20">
        <f t="shared" si="171"/>
        <v>1.3525069634579169E-12</v>
      </c>
      <c r="CC182" s="59">
        <f t="shared" si="119"/>
        <v>293.33333333333468</v>
      </c>
      <c r="CD182" s="59">
        <f ca="1">AVERAGE(OFFSET($CC$3,0,0,'Données projet'!$E$12+1,1))-AVERAGE(OFFSET($H$3,0,0,'Données projet'!$E$12+1,1))</f>
        <v>288.82868507674738</v>
      </c>
      <c r="CE182" s="59">
        <f t="shared" si="148"/>
        <v>283.48738729114024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5.0370847079376675E-2</v>
      </c>
      <c r="CM182" s="21">
        <f>EXP(-LN(2)/2)*CM181+(1-EXP(-LN(2)/2))/(LN(2)/2)*CG182*CJ182*VLOOKUP('Données projet'!$B$12,Paramètres!$A$1:$I$89,3,0)*0.475*44/12</f>
        <v>1.2241294443301012E-22</v>
      </c>
      <c r="CN182" s="22">
        <f t="shared" si="172"/>
        <v>5.0370847079376675E-2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-5.6843418860808015E-14</v>
      </c>
      <c r="CU182" s="17">
        <f>CT182*VLOOKUP('Données projet'!$B$13,Paramètres!$A$1:$I$89,3,0)*VLOOKUP('Données projet'!$B$13,Paramètres!$A$1:$I$89,5,0)</f>
        <v>-4.8771653382573282E-14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273.73158910361786</v>
      </c>
      <c r="CZ182" s="59">
        <f t="shared" si="150"/>
        <v>256.77417912163997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-3.4106051316484809E-13</v>
      </c>
      <c r="DP182" s="17">
        <f>DO182*VLOOKUP('Données projet'!$B$14,Paramètres!$A$1:$I$89,3,0)*VLOOKUP('Données projet'!$B$14,Paramètres!$A$1:$I$89,5,0)</f>
        <v>-1.9065282685915009E-13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534.78683721545372</v>
      </c>
      <c r="DU182" s="59">
        <f t="shared" si="152"/>
        <v>710.59298755711075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0.2858116692272325</v>
      </c>
      <c r="EB182" s="21">
        <f>EXP(-LN(2)/25)*EB181+(1-EXP(-LN(2)/25))/(LN(2)/25)*Calculateur!DW182*Calculateur!DY182*VLOOKUP('Données projet'!$B$14,Paramètres!$A$1:$I$89,3,0)*0.475*44/12</f>
        <v>0.38864423281820265</v>
      </c>
      <c r="EC182" s="21">
        <f>EXP(-LN(2)/2)*EC181+(1-EXP(-LN(2)/2))/(LN(2)/2)*DW182*DZ182*VLOOKUP('Données projet'!$B$14,Paramètres!$A$1:$I$89,3,0)*0.475*44/12</f>
        <v>4.3796445315013603E-22</v>
      </c>
      <c r="ED182" s="22">
        <f t="shared" si="178"/>
        <v>0.67445590204543515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5.6843418860808015E-14</v>
      </c>
      <c r="EK182" s="17">
        <f>EJ182*VLOOKUP('Données projet'!$B$15,Paramètres!$A$1:$I$89,3,0)*VLOOKUP('Données projet'!$B$15,Paramètres!$A$1:$I$89,5,0)</f>
        <v>4.9658410716801891E-14</v>
      </c>
      <c r="EL182" s="13">
        <f t="shared" si="179"/>
        <v>8.0934058173791862E-13</v>
      </c>
      <c r="EM182" s="20">
        <f t="shared" si="180"/>
        <v>1.4960899118586383E-12</v>
      </c>
      <c r="EN182" s="59">
        <f t="shared" si="128"/>
        <v>293.33333333333479</v>
      </c>
      <c r="EO182" s="59">
        <f ca="1">AVERAGE(OFFSET($EN$3,0,0,'Données projet'!$E$15+1,1))-AVERAGE(OFFSET($H$3,0,0,'Données projet'!$E$15+1,1))</f>
        <v>255.2813753128475</v>
      </c>
      <c r="EP182" s="59">
        <f t="shared" si="154"/>
        <v>317.03005098025352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0.29499349702881611</v>
      </c>
      <c r="EW182" s="21">
        <f>EXP(-LN(2)/25)*EW181+(1-EXP(-LN(2)/25))/(LN(2)/25)*Calculateur!ER182*Calculateur!ET182*VLOOKUP('Données projet'!$B$15,Paramètres!$A$1:$I$89,3,0)*0.475*44/12</f>
        <v>0.28330056998394976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0.57829406701276587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1.7053025658242404E-13</v>
      </c>
      <c r="O183" s="13">
        <f>N183*VLOOKUP('Données projet'!$B$9,Paramètres!$A$1:$I$89,3,0)*VLOOKUP('Données projet'!$B$9,Paramètres!$A$1:$I$89,5,0)</f>
        <v>1.250327841262333E-13</v>
      </c>
      <c r="P183" s="13">
        <f t="shared" si="141"/>
        <v>1.8301318724634299E-12</v>
      </c>
      <c r="Q183" s="20">
        <f t="shared" si="162"/>
        <v>3.405245110226996E-12</v>
      </c>
      <c r="R183" s="59">
        <f t="shared" si="109"/>
        <v>293.33333333333672</v>
      </c>
      <c r="S183" s="59">
        <f ca="1">AVERAGE(OFFSET($R$3,0,0,'Données projet'!$E$9+1,1))-AVERAGE(OFFSET($H$3,0,0,'Données projet'!$E$9+1,1))</f>
        <v>193.60868637458515</v>
      </c>
      <c r="T183" s="59">
        <f t="shared" si="142"/>
        <v>272.97841038165217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-1.3567387213697657E-13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281.79835088425858</v>
      </c>
      <c r="AO183" s="59">
        <f t="shared" si="144"/>
        <v>345.4750813433123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343.6089004382095</v>
      </c>
      <c r="BJ183" s="59">
        <f t="shared" si="146"/>
        <v>278.21741231699929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4.4337866711430253E-14</v>
      </c>
      <c r="CA183" s="13">
        <f t="shared" si="170"/>
        <v>7.3222115536967035E-13</v>
      </c>
      <c r="CB183" s="20">
        <f t="shared" si="171"/>
        <v>1.3525069634579169E-12</v>
      </c>
      <c r="CC183" s="59">
        <f t="shared" si="119"/>
        <v>293.33333333333468</v>
      </c>
      <c r="CD183" s="59">
        <f ca="1">AVERAGE(OFFSET($CC$3,0,0,'Données projet'!$E$12+1,1))-AVERAGE(OFFSET($H$3,0,0,'Données projet'!$E$12+1,1))</f>
        <v>288.82868507674738</v>
      </c>
      <c r="CE183" s="59">
        <f t="shared" si="148"/>
        <v>283.48738729114024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4.8993453617103395E-2</v>
      </c>
      <c r="CM183" s="21">
        <f>EXP(-LN(2)/2)*CM182+(1-EXP(-LN(2)/2))/(LN(2)/2)*CG183*CJ183*VLOOKUP('Données projet'!$B$12,Paramètres!$A$1:$I$89,3,0)*0.475*44/12</f>
        <v>8.6559023113593486E-23</v>
      </c>
      <c r="CN183" s="22">
        <f t="shared" si="172"/>
        <v>4.8993453617103395E-2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-5.6843418860808015E-14</v>
      </c>
      <c r="CU183" s="17">
        <f>CT183*VLOOKUP('Données projet'!$B$13,Paramètres!$A$1:$I$89,3,0)*VLOOKUP('Données projet'!$B$13,Paramètres!$A$1:$I$89,5,0)</f>
        <v>-4.8771653382573282E-14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273.73158910361786</v>
      </c>
      <c r="CZ183" s="59">
        <f t="shared" si="150"/>
        <v>256.77417912163997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-3.4106051316484809E-13</v>
      </c>
      <c r="DP183" s="17">
        <f>DO183*VLOOKUP('Données projet'!$B$14,Paramètres!$A$1:$I$89,3,0)*VLOOKUP('Données projet'!$B$14,Paramètres!$A$1:$I$89,5,0)</f>
        <v>-1.9065282685915009E-13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534.78683721545372</v>
      </c>
      <c r="DU183" s="59">
        <f t="shared" si="152"/>
        <v>710.59298755711075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0.28020707672159123</v>
      </c>
      <c r="EB183" s="21">
        <f>EXP(-LN(2)/25)*EB182+(1-EXP(-LN(2)/25))/(LN(2)/25)*Calculateur!DW183*Calculateur!DY183*VLOOKUP('Données projet'!$B$14,Paramètres!$A$1:$I$89,3,0)*0.475*44/12</f>
        <v>0.37801673583387696</v>
      </c>
      <c r="EC183" s="21">
        <f>EXP(-LN(2)/2)*EC182+(1-EXP(-LN(2)/2))/(LN(2)/2)*DW183*DZ183*VLOOKUP('Données projet'!$B$14,Paramètres!$A$1:$I$89,3,0)*0.475*44/12</f>
        <v>3.0968763474111918E-22</v>
      </c>
      <c r="ED183" s="22">
        <f t="shared" si="178"/>
        <v>0.65822381255546825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5.6843418860808015E-14</v>
      </c>
      <c r="EK183" s="17">
        <f>EJ183*VLOOKUP('Données projet'!$B$15,Paramètres!$A$1:$I$89,3,0)*VLOOKUP('Données projet'!$B$15,Paramètres!$A$1:$I$89,5,0)</f>
        <v>4.9658410716801891E-14</v>
      </c>
      <c r="EL183" s="13">
        <f t="shared" si="179"/>
        <v>8.0934058173791862E-13</v>
      </c>
      <c r="EM183" s="20">
        <f t="shared" si="180"/>
        <v>1.4960899118586383E-12</v>
      </c>
      <c r="EN183" s="59">
        <f t="shared" si="128"/>
        <v>293.33333333333479</v>
      </c>
      <c r="EO183" s="59">
        <f ca="1">AVERAGE(OFFSET($EN$3,0,0,'Données projet'!$E$15+1,1))-AVERAGE(OFFSET($H$3,0,0,'Données projet'!$E$15+1,1))</f>
        <v>255.2813753128475</v>
      </c>
      <c r="EP183" s="59">
        <f t="shared" si="154"/>
        <v>317.03005098025352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0.28920885448034778</v>
      </c>
      <c r="EW183" s="21">
        <f>EXP(-LN(2)/25)*EW182+(1-EXP(-LN(2)/25))/(LN(2)/25)*Calculateur!ER183*Calculateur!ET183*VLOOKUP('Données projet'!$B$15,Paramètres!$A$1:$I$89,3,0)*0.475*44/12</f>
        <v>0.27555370099960919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0.56476255547995691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1.7053025658242404E-13</v>
      </c>
      <c r="O184" s="13">
        <f>N184*VLOOKUP('Données projet'!$B$9,Paramètres!$A$1:$I$89,3,0)*VLOOKUP('Données projet'!$B$9,Paramètres!$A$1:$I$89,5,0)</f>
        <v>1.250327841262333E-13</v>
      </c>
      <c r="P184" s="13">
        <f t="shared" si="141"/>
        <v>1.8301318724634299E-12</v>
      </c>
      <c r="Q184" s="20">
        <f t="shared" si="162"/>
        <v>3.405245110226996E-12</v>
      </c>
      <c r="R184" s="59">
        <f t="shared" si="109"/>
        <v>293.33333333333672</v>
      </c>
      <c r="S184" s="59">
        <f ca="1">AVERAGE(OFFSET($R$3,0,0,'Données projet'!$E$9+1,1))-AVERAGE(OFFSET($H$3,0,0,'Données projet'!$E$9+1,1))</f>
        <v>193.60868637458515</v>
      </c>
      <c r="T184" s="59">
        <f t="shared" si="142"/>
        <v>272.97841038165217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-1.3567387213697657E-13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281.79835088425858</v>
      </c>
      <c r="AO184" s="59">
        <f t="shared" si="144"/>
        <v>345.4750813433123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343.6089004382095</v>
      </c>
      <c r="BJ184" s="59">
        <f t="shared" si="146"/>
        <v>278.21741231699929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4.4337866711430253E-14</v>
      </c>
      <c r="CA184" s="13">
        <f t="shared" si="170"/>
        <v>7.3222115536967035E-13</v>
      </c>
      <c r="CB184" s="20">
        <f t="shared" si="171"/>
        <v>1.3525069634579169E-12</v>
      </c>
      <c r="CC184" s="59">
        <f t="shared" si="119"/>
        <v>293.33333333333468</v>
      </c>
      <c r="CD184" s="59">
        <f ca="1">AVERAGE(OFFSET($CC$3,0,0,'Données projet'!$E$12+1,1))-AVERAGE(OFFSET($H$3,0,0,'Données projet'!$E$12+1,1))</f>
        <v>288.82868507674738</v>
      </c>
      <c r="CE184" s="59">
        <f t="shared" si="148"/>
        <v>283.48738729114024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4.7653725051489952E-2</v>
      </c>
      <c r="CM184" s="21">
        <f>EXP(-LN(2)/2)*CM183+(1-EXP(-LN(2)/2))/(LN(2)/2)*CG184*CJ184*VLOOKUP('Données projet'!$B$12,Paramètres!$A$1:$I$89,3,0)*0.475*44/12</f>
        <v>6.1206472216505058E-23</v>
      </c>
      <c r="CN184" s="22">
        <f t="shared" si="172"/>
        <v>4.7653725051489952E-2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-5.6843418860808015E-14</v>
      </c>
      <c r="CU184" s="17">
        <f>CT184*VLOOKUP('Données projet'!$B$13,Paramètres!$A$1:$I$89,3,0)*VLOOKUP('Données projet'!$B$13,Paramètres!$A$1:$I$89,5,0)</f>
        <v>-4.8771653382573282E-14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273.73158910361786</v>
      </c>
      <c r="CZ184" s="59">
        <f t="shared" si="150"/>
        <v>256.77417912163997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-3.4106051316484809E-13</v>
      </c>
      <c r="DP184" s="17">
        <f>DO184*VLOOKUP('Données projet'!$B$14,Paramètres!$A$1:$I$89,3,0)*VLOOKUP('Données projet'!$B$14,Paramètres!$A$1:$I$89,5,0)</f>
        <v>-1.9065282685915009E-13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534.78683721545372</v>
      </c>
      <c r="DU184" s="59">
        <f t="shared" si="152"/>
        <v>710.59298755711075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0.27471238685652172</v>
      </c>
      <c r="EB184" s="21">
        <f>EXP(-LN(2)/25)*EB183+(1-EXP(-LN(2)/25))/(LN(2)/25)*Calculateur!DW184*Calculateur!DY184*VLOOKUP('Données projet'!$B$14,Paramètres!$A$1:$I$89,3,0)*0.475*44/12</f>
        <v>0.36767984831346345</v>
      </c>
      <c r="EC184" s="21">
        <f>EXP(-LN(2)/2)*EC183+(1-EXP(-LN(2)/2))/(LN(2)/2)*DW184*DZ184*VLOOKUP('Données projet'!$B$14,Paramètres!$A$1:$I$89,3,0)*0.475*44/12</f>
        <v>2.1898222657506801E-22</v>
      </c>
      <c r="ED184" s="22">
        <f t="shared" si="178"/>
        <v>0.64239223516998512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5.6843418860808015E-14</v>
      </c>
      <c r="EK184" s="17">
        <f>EJ184*VLOOKUP('Données projet'!$B$15,Paramètres!$A$1:$I$89,3,0)*VLOOKUP('Données projet'!$B$15,Paramètres!$A$1:$I$89,5,0)</f>
        <v>4.9658410716801891E-14</v>
      </c>
      <c r="EL184" s="13">
        <f t="shared" si="179"/>
        <v>8.0934058173791862E-13</v>
      </c>
      <c r="EM184" s="20">
        <f t="shared" si="180"/>
        <v>1.4960899118586383E-12</v>
      </c>
      <c r="EN184" s="59">
        <f t="shared" si="128"/>
        <v>293.33333333333479</v>
      </c>
      <c r="EO184" s="59">
        <f ca="1">AVERAGE(OFFSET($EN$3,0,0,'Données projet'!$E$15+1,1))-AVERAGE(OFFSET($H$3,0,0,'Données projet'!$E$15+1,1))</f>
        <v>255.2813753128475</v>
      </c>
      <c r="EP184" s="59">
        <f t="shared" si="154"/>
        <v>317.03005098025352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0.28353764524397135</v>
      </c>
      <c r="EW184" s="21">
        <f>EXP(-LN(2)/25)*EW183+(1-EXP(-LN(2)/25))/(LN(2)/25)*Calculateur!ER184*Calculateur!ET184*VLOOKUP('Données projet'!$B$15,Paramètres!$A$1:$I$89,3,0)*0.475*44/12</f>
        <v>0.26801867055503553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0.55155631579900688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1.7053025658242404E-13</v>
      </c>
      <c r="O185" s="13">
        <f>N185*VLOOKUP('Données projet'!$B$9,Paramètres!$A$1:$I$89,3,0)*VLOOKUP('Données projet'!$B$9,Paramètres!$A$1:$I$89,5,0)</f>
        <v>1.250327841262333E-13</v>
      </c>
      <c r="P185" s="13">
        <f t="shared" si="141"/>
        <v>1.8301318724634299E-12</v>
      </c>
      <c r="Q185" s="20">
        <f t="shared" si="162"/>
        <v>3.405245110226996E-12</v>
      </c>
      <c r="R185" s="59">
        <f t="shared" si="109"/>
        <v>293.33333333333672</v>
      </c>
      <c r="S185" s="59">
        <f ca="1">AVERAGE(OFFSET($R$3,0,0,'Données projet'!$E$9+1,1))-AVERAGE(OFFSET($H$3,0,0,'Données projet'!$E$9+1,1))</f>
        <v>193.60868637458515</v>
      </c>
      <c r="T185" s="59">
        <f t="shared" si="142"/>
        <v>272.97841038165217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-1.3567387213697657E-13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281.79835088425858</v>
      </c>
      <c r="AO185" s="59">
        <f t="shared" si="144"/>
        <v>345.4750813433123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343.6089004382095</v>
      </c>
      <c r="BJ185" s="59">
        <f t="shared" si="146"/>
        <v>278.21741231699929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4.4337866711430253E-14</v>
      </c>
      <c r="CA185" s="13">
        <f t="shared" si="170"/>
        <v>7.3222115536967035E-13</v>
      </c>
      <c r="CB185" s="20">
        <f t="shared" si="171"/>
        <v>1.3525069634579169E-12</v>
      </c>
      <c r="CC185" s="59">
        <f t="shared" si="119"/>
        <v>293.33333333333468</v>
      </c>
      <c r="CD185" s="59">
        <f ca="1">AVERAGE(OFFSET($CC$3,0,0,'Données projet'!$E$12+1,1))-AVERAGE(OFFSET($H$3,0,0,'Données projet'!$E$12+1,1))</f>
        <v>288.82868507674738</v>
      </c>
      <c r="CE185" s="59">
        <f t="shared" si="148"/>
        <v>283.48738729114024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4.6350631433956471E-2</v>
      </c>
      <c r="CM185" s="21">
        <f>EXP(-LN(2)/2)*CM184+(1-EXP(-LN(2)/2))/(LN(2)/2)*CG185*CJ185*VLOOKUP('Données projet'!$B$12,Paramètres!$A$1:$I$89,3,0)*0.475*44/12</f>
        <v>4.3279511556796743E-23</v>
      </c>
      <c r="CN185" s="22">
        <f t="shared" si="172"/>
        <v>4.6350631433956471E-2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-5.6843418860808015E-14</v>
      </c>
      <c r="CU185" s="17">
        <f>CT185*VLOOKUP('Données projet'!$B$13,Paramètres!$A$1:$I$89,3,0)*VLOOKUP('Données projet'!$B$13,Paramètres!$A$1:$I$89,5,0)</f>
        <v>-4.8771653382573282E-14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273.73158910361786</v>
      </c>
      <c r="CZ185" s="59">
        <f t="shared" si="150"/>
        <v>256.77417912163997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-3.4106051316484809E-13</v>
      </c>
      <c r="DP185" s="17">
        <f>DO185*VLOOKUP('Données projet'!$B$14,Paramètres!$A$1:$I$89,3,0)*VLOOKUP('Données projet'!$B$14,Paramètres!$A$1:$I$89,5,0)</f>
        <v>-1.9065282685915009E-13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534.78683721545372</v>
      </c>
      <c r="DU185" s="59">
        <f t="shared" si="152"/>
        <v>710.59298755711075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0.26932544450827633</v>
      </c>
      <c r="EB185" s="21">
        <f>EXP(-LN(2)/25)*EB184+(1-EXP(-LN(2)/25))/(LN(2)/25)*Calculateur!DW185*Calculateur!DY185*VLOOKUP('Données projet'!$B$14,Paramètres!$A$1:$I$89,3,0)*0.475*44/12</f>
        <v>0.35762562352588889</v>
      </c>
      <c r="EC185" s="21">
        <f>EXP(-LN(2)/2)*EC184+(1-EXP(-LN(2)/2))/(LN(2)/2)*DW185*DZ185*VLOOKUP('Données projet'!$B$14,Paramètres!$A$1:$I$89,3,0)*0.475*44/12</f>
        <v>1.5484381737055959E-22</v>
      </c>
      <c r="ED185" s="22">
        <f t="shared" si="178"/>
        <v>0.62695106803416523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5.6843418860808015E-14</v>
      </c>
      <c r="EK185" s="17">
        <f>EJ185*VLOOKUP('Données projet'!$B$15,Paramètres!$A$1:$I$89,3,0)*VLOOKUP('Données projet'!$B$15,Paramètres!$A$1:$I$89,5,0)</f>
        <v>4.9658410716801891E-14</v>
      </c>
      <c r="EL185" s="13">
        <f t="shared" si="179"/>
        <v>8.0934058173791862E-13</v>
      </c>
      <c r="EM185" s="20">
        <f t="shared" si="180"/>
        <v>1.4960899118586383E-12</v>
      </c>
      <c r="EN185" s="59">
        <f t="shared" si="128"/>
        <v>293.33333333333479</v>
      </c>
      <c r="EO185" s="59">
        <f ca="1">AVERAGE(OFFSET($EN$3,0,0,'Données projet'!$E$15+1,1))-AVERAGE(OFFSET($H$3,0,0,'Données projet'!$E$15+1,1))</f>
        <v>255.2813753128475</v>
      </c>
      <c r="EP185" s="59">
        <f t="shared" si="154"/>
        <v>317.03005098025352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0.27797764496162419</v>
      </c>
      <c r="EW185" s="21">
        <f>EXP(-LN(2)/25)*EW184+(1-EXP(-LN(2)/25))/(LN(2)/25)*Calculateur!ER185*Calculateur!ET185*VLOOKUP('Données projet'!$B$15,Paramètres!$A$1:$I$89,3,0)*0.475*44/12</f>
        <v>0.26068968591421876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0.53866733087584295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1.7053025658242404E-13</v>
      </c>
      <c r="O186" s="13">
        <f>N186*VLOOKUP('Données projet'!$B$9,Paramètres!$A$1:$I$89,3,0)*VLOOKUP('Données projet'!$B$9,Paramètres!$A$1:$I$89,5,0)</f>
        <v>1.250327841262333E-13</v>
      </c>
      <c r="P186" s="13">
        <f t="shared" si="141"/>
        <v>1.8301318724634299E-12</v>
      </c>
      <c r="Q186" s="20">
        <f t="shared" si="162"/>
        <v>3.405245110226996E-12</v>
      </c>
      <c r="R186" s="59">
        <f t="shared" si="109"/>
        <v>293.33333333333672</v>
      </c>
      <c r="S186" s="59">
        <f ca="1">AVERAGE(OFFSET($R$3,0,0,'Données projet'!$E$9+1,1))-AVERAGE(OFFSET($H$3,0,0,'Données projet'!$E$9+1,1))</f>
        <v>193.60868637458515</v>
      </c>
      <c r="T186" s="59">
        <f t="shared" si="142"/>
        <v>272.97841038165217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-1.3567387213697657E-13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281.79835088425858</v>
      </c>
      <c r="AO186" s="59">
        <f t="shared" si="144"/>
        <v>345.4750813433123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343.6089004382095</v>
      </c>
      <c r="BJ186" s="59">
        <f t="shared" si="146"/>
        <v>278.21741231699929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4.4337866711430253E-14</v>
      </c>
      <c r="CA186" s="13">
        <f t="shared" si="170"/>
        <v>7.3222115536967035E-13</v>
      </c>
      <c r="CB186" s="20">
        <f t="shared" si="171"/>
        <v>1.3525069634579169E-12</v>
      </c>
      <c r="CC186" s="59">
        <f t="shared" si="119"/>
        <v>293.33333333333468</v>
      </c>
      <c r="CD186" s="59">
        <f ca="1">AVERAGE(OFFSET($CC$3,0,0,'Données projet'!$E$12+1,1))-AVERAGE(OFFSET($H$3,0,0,'Données projet'!$E$12+1,1))</f>
        <v>288.82868507674738</v>
      </c>
      <c r="CE186" s="59">
        <f t="shared" si="148"/>
        <v>283.48738729114024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4.5083170979921157E-2</v>
      </c>
      <c r="CM186" s="21">
        <f>EXP(-LN(2)/2)*CM185+(1-EXP(-LN(2)/2))/(LN(2)/2)*CG186*CJ186*VLOOKUP('Données projet'!$B$12,Paramètres!$A$1:$I$89,3,0)*0.475*44/12</f>
        <v>3.0603236108252529E-23</v>
      </c>
      <c r="CN186" s="22">
        <f t="shared" si="172"/>
        <v>4.5083170979921157E-2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-5.6843418860808015E-14</v>
      </c>
      <c r="CU186" s="17">
        <f>CT186*VLOOKUP('Données projet'!$B$13,Paramètres!$A$1:$I$89,3,0)*VLOOKUP('Données projet'!$B$13,Paramètres!$A$1:$I$89,5,0)</f>
        <v>-4.8771653382573282E-14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273.73158910361786</v>
      </c>
      <c r="CZ186" s="59">
        <f t="shared" si="150"/>
        <v>256.77417912163997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-3.4106051316484809E-13</v>
      </c>
      <c r="DP186" s="17">
        <f>DO186*VLOOKUP('Données projet'!$B$14,Paramètres!$A$1:$I$89,3,0)*VLOOKUP('Données projet'!$B$14,Paramètres!$A$1:$I$89,5,0)</f>
        <v>-1.9065282685915009E-13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534.78683721545372</v>
      </c>
      <c r="DU186" s="59">
        <f t="shared" si="152"/>
        <v>710.59298755711075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0.26404413681376965</v>
      </c>
      <c r="EB186" s="21">
        <f>EXP(-LN(2)/25)*EB185+(1-EXP(-LN(2)/25))/(LN(2)/25)*Calculateur!DW186*Calculateur!DY186*VLOOKUP('Données projet'!$B$14,Paramètres!$A$1:$I$89,3,0)*0.475*44/12</f>
        <v>0.34784633204385929</v>
      </c>
      <c r="EC186" s="21">
        <f>EXP(-LN(2)/2)*EC185+(1-EXP(-LN(2)/2))/(LN(2)/2)*DW186*DZ186*VLOOKUP('Données projet'!$B$14,Paramètres!$A$1:$I$89,3,0)*0.475*44/12</f>
        <v>1.0949111328753401E-22</v>
      </c>
      <c r="ED186" s="22">
        <f t="shared" si="178"/>
        <v>0.61189046885762899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5.6843418860808015E-14</v>
      </c>
      <c r="EK186" s="17">
        <f>EJ186*VLOOKUP('Données projet'!$B$15,Paramètres!$A$1:$I$89,3,0)*VLOOKUP('Données projet'!$B$15,Paramètres!$A$1:$I$89,5,0)</f>
        <v>4.9658410716801891E-14</v>
      </c>
      <c r="EL186" s="13">
        <f t="shared" si="179"/>
        <v>8.0934058173791862E-13</v>
      </c>
      <c r="EM186" s="20">
        <f t="shared" si="180"/>
        <v>1.4960899118586383E-12</v>
      </c>
      <c r="EN186" s="59">
        <f t="shared" si="128"/>
        <v>293.33333333333479</v>
      </c>
      <c r="EO186" s="59">
        <f ca="1">AVERAGE(OFFSET($EN$3,0,0,'Données projet'!$E$15+1,1))-AVERAGE(OFFSET($H$3,0,0,'Données projet'!$E$15+1,1))</f>
        <v>255.2813753128475</v>
      </c>
      <c r="EP186" s="59">
        <f t="shared" si="154"/>
        <v>317.03005098025352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0.27252667289354854</v>
      </c>
      <c r="EW186" s="21">
        <f>EXP(-LN(2)/25)*EW185+(1-EXP(-LN(2)/25))/(LN(2)/25)*Calculateur!ER186*Calculateur!ET186*VLOOKUP('Données projet'!$B$15,Paramètres!$A$1:$I$89,3,0)*0.475*44/12</f>
        <v>0.25356111274381971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0.52608778563736824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1.7053025658242404E-13</v>
      </c>
      <c r="O187" s="13">
        <f>N187*VLOOKUP('Données projet'!$B$9,Paramètres!$A$1:$I$89,3,0)*VLOOKUP('Données projet'!$B$9,Paramètres!$A$1:$I$89,5,0)</f>
        <v>1.250327841262333E-13</v>
      </c>
      <c r="P187" s="13">
        <f t="shared" si="141"/>
        <v>1.8301318724634299E-12</v>
      </c>
      <c r="Q187" s="20">
        <f t="shared" si="162"/>
        <v>3.405245110226996E-12</v>
      </c>
      <c r="R187" s="59">
        <f t="shared" si="109"/>
        <v>293.33333333333672</v>
      </c>
      <c r="S187" s="59">
        <f ca="1">AVERAGE(OFFSET($R$3,0,0,'Données projet'!$E$9+1,1))-AVERAGE(OFFSET($H$3,0,0,'Données projet'!$E$9+1,1))</f>
        <v>193.60868637458515</v>
      </c>
      <c r="T187" s="59">
        <f t="shared" si="142"/>
        <v>272.97841038165217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-1.3567387213697657E-13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281.79835088425858</v>
      </c>
      <c r="AO187" s="59">
        <f t="shared" si="144"/>
        <v>345.4750813433123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343.6089004382095</v>
      </c>
      <c r="BJ187" s="59">
        <f t="shared" si="146"/>
        <v>278.21741231699929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4.4337866711430253E-14</v>
      </c>
      <c r="CA187" s="13">
        <f t="shared" si="170"/>
        <v>7.3222115536967035E-13</v>
      </c>
      <c r="CB187" s="20">
        <f t="shared" si="171"/>
        <v>1.3525069634579169E-12</v>
      </c>
      <c r="CC187" s="59">
        <f t="shared" si="119"/>
        <v>293.33333333333468</v>
      </c>
      <c r="CD187" s="59">
        <f ca="1">AVERAGE(OFFSET($CC$3,0,0,'Données projet'!$E$12+1,1))-AVERAGE(OFFSET($H$3,0,0,'Données projet'!$E$12+1,1))</f>
        <v>288.82868507674738</v>
      </c>
      <c r="CE187" s="59">
        <f t="shared" si="148"/>
        <v>283.48738729114024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4.3850369298654289E-2</v>
      </c>
      <c r="CM187" s="21">
        <f>EXP(-LN(2)/2)*CM186+(1-EXP(-LN(2)/2))/(LN(2)/2)*CG187*CJ187*VLOOKUP('Données projet'!$B$12,Paramètres!$A$1:$I$89,3,0)*0.475*44/12</f>
        <v>2.1639755778398372E-23</v>
      </c>
      <c r="CN187" s="22">
        <f t="shared" si="172"/>
        <v>4.3850369298654289E-2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-5.6843418860808015E-14</v>
      </c>
      <c r="CU187" s="17">
        <f>CT187*VLOOKUP('Données projet'!$B$13,Paramètres!$A$1:$I$89,3,0)*VLOOKUP('Données projet'!$B$13,Paramètres!$A$1:$I$89,5,0)</f>
        <v>-4.8771653382573282E-14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273.73158910361786</v>
      </c>
      <c r="CZ187" s="59">
        <f t="shared" si="150"/>
        <v>256.77417912163997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-3.4106051316484809E-13</v>
      </c>
      <c r="DP187" s="17">
        <f>DO187*VLOOKUP('Données projet'!$B$14,Paramètres!$A$1:$I$89,3,0)*VLOOKUP('Données projet'!$B$14,Paramètres!$A$1:$I$89,5,0)</f>
        <v>-1.9065282685915009E-13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534.78683721545372</v>
      </c>
      <c r="DU187" s="59">
        <f t="shared" si="152"/>
        <v>710.59298755711075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0.25886639234187259</v>
      </c>
      <c r="EB187" s="21">
        <f>EXP(-LN(2)/25)*EB186+(1-EXP(-LN(2)/25))/(LN(2)/25)*Calculateur!DW187*Calculateur!DY187*VLOOKUP('Données projet'!$B$14,Paramètres!$A$1:$I$89,3,0)*0.475*44/12</f>
        <v>0.33833445580167637</v>
      </c>
      <c r="EC187" s="21">
        <f>EXP(-LN(2)/2)*EC186+(1-EXP(-LN(2)/2))/(LN(2)/2)*DW187*DZ187*VLOOKUP('Données projet'!$B$14,Paramètres!$A$1:$I$89,3,0)*0.475*44/12</f>
        <v>7.7421908685279796E-23</v>
      </c>
      <c r="ED187" s="22">
        <f t="shared" si="178"/>
        <v>0.5972008481435489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5.6843418860808015E-14</v>
      </c>
      <c r="EK187" s="17">
        <f>EJ187*VLOOKUP('Données projet'!$B$15,Paramètres!$A$1:$I$89,3,0)*VLOOKUP('Données projet'!$B$15,Paramètres!$A$1:$I$89,5,0)</f>
        <v>4.9658410716801891E-14</v>
      </c>
      <c r="EL187" s="13">
        <f t="shared" si="179"/>
        <v>8.0934058173791862E-13</v>
      </c>
      <c r="EM187" s="20">
        <f t="shared" si="180"/>
        <v>1.4960899118586383E-12</v>
      </c>
      <c r="EN187" s="59">
        <f t="shared" si="128"/>
        <v>293.33333333333479</v>
      </c>
      <c r="EO187" s="59">
        <f ca="1">AVERAGE(OFFSET($EN$3,0,0,'Données projet'!$E$15+1,1))-AVERAGE(OFFSET($H$3,0,0,'Données projet'!$E$15+1,1))</f>
        <v>255.2813753128475</v>
      </c>
      <c r="EP187" s="59">
        <f t="shared" si="154"/>
        <v>317.03005098025352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0.26718259106296316</v>
      </c>
      <c r="EW187" s="21">
        <f>EXP(-LN(2)/25)*EW186+(1-EXP(-LN(2)/25))/(LN(2)/25)*Calculateur!ER187*Calculateur!ET187*VLOOKUP('Données projet'!$B$15,Paramètres!$A$1:$I$89,3,0)*0.475*44/12</f>
        <v>0.24662747078164055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0.51381006184460376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1.7053025658242404E-13</v>
      </c>
      <c r="O188" s="13">
        <f>N188*VLOOKUP('Données projet'!$B$9,Paramètres!$A$1:$I$89,3,0)*VLOOKUP('Données projet'!$B$9,Paramètres!$A$1:$I$89,5,0)</f>
        <v>1.250327841262333E-13</v>
      </c>
      <c r="P188" s="13">
        <f t="shared" si="141"/>
        <v>1.8301318724634299E-12</v>
      </c>
      <c r="Q188" s="20">
        <f t="shared" si="162"/>
        <v>3.405245110226996E-12</v>
      </c>
      <c r="R188" s="59">
        <f t="shared" si="109"/>
        <v>293.33333333333672</v>
      </c>
      <c r="S188" s="59">
        <f ca="1">AVERAGE(OFFSET($R$3,0,0,'Données projet'!$E$9+1,1))-AVERAGE(OFFSET($H$3,0,0,'Données projet'!$E$9+1,1))</f>
        <v>193.60868637458515</v>
      </c>
      <c r="T188" s="59">
        <f t="shared" si="142"/>
        <v>272.97841038165217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-1.3567387213697657E-13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281.79835088425858</v>
      </c>
      <c r="AO188" s="59">
        <f t="shared" si="144"/>
        <v>345.4750813433123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343.6089004382095</v>
      </c>
      <c r="BJ188" s="59">
        <f t="shared" si="146"/>
        <v>278.21741231699929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4.4337866711430253E-14</v>
      </c>
      <c r="CA188" s="13">
        <f t="shared" si="170"/>
        <v>7.3222115536967035E-13</v>
      </c>
      <c r="CB188" s="20">
        <f t="shared" si="171"/>
        <v>1.3525069634579169E-12</v>
      </c>
      <c r="CC188" s="59">
        <f t="shared" si="119"/>
        <v>293.33333333333468</v>
      </c>
      <c r="CD188" s="59">
        <f ca="1">AVERAGE(OFFSET($CC$3,0,0,'Données projet'!$E$12+1,1))-AVERAGE(OFFSET($H$3,0,0,'Données projet'!$E$12+1,1))</f>
        <v>288.82868507674738</v>
      </c>
      <c r="CE188" s="59">
        <f t="shared" si="148"/>
        <v>283.48738729114024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4.2651278644191888E-2</v>
      </c>
      <c r="CM188" s="21">
        <f>EXP(-LN(2)/2)*CM187+(1-EXP(-LN(2)/2))/(LN(2)/2)*CG188*CJ188*VLOOKUP('Données projet'!$B$12,Paramètres!$A$1:$I$89,3,0)*0.475*44/12</f>
        <v>1.5301618054126265E-23</v>
      </c>
      <c r="CN188" s="22">
        <f t="shared" si="172"/>
        <v>4.2651278644191888E-2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-5.6843418860808015E-14</v>
      </c>
      <c r="CU188" s="17">
        <f>CT188*VLOOKUP('Données projet'!$B$13,Paramètres!$A$1:$I$89,3,0)*VLOOKUP('Données projet'!$B$13,Paramètres!$A$1:$I$89,5,0)</f>
        <v>-4.8771653382573282E-14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273.73158910361786</v>
      </c>
      <c r="CZ188" s="59">
        <f t="shared" si="150"/>
        <v>256.77417912163997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-3.4106051316484809E-13</v>
      </c>
      <c r="DP188" s="17">
        <f>DO188*VLOOKUP('Données projet'!$B$14,Paramètres!$A$1:$I$89,3,0)*VLOOKUP('Données projet'!$B$14,Paramètres!$A$1:$I$89,5,0)</f>
        <v>-1.9065282685915009E-13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534.78683721545372</v>
      </c>
      <c r="DU188" s="59">
        <f t="shared" si="152"/>
        <v>710.59298755711075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0.25379018028095718</v>
      </c>
      <c r="EB188" s="21">
        <f>EXP(-LN(2)/25)*EB187+(1-EXP(-LN(2)/25))/(LN(2)/25)*Calculateur!DW188*Calculateur!DY188*VLOOKUP('Données projet'!$B$14,Paramètres!$A$1:$I$89,3,0)*0.475*44/12</f>
        <v>0.32908268231554377</v>
      </c>
      <c r="EC188" s="21">
        <f>EXP(-LN(2)/2)*EC187+(1-EXP(-LN(2)/2))/(LN(2)/2)*DW188*DZ188*VLOOKUP('Données projet'!$B$14,Paramètres!$A$1:$I$89,3,0)*0.475*44/12</f>
        <v>5.4745556643767004E-23</v>
      </c>
      <c r="ED188" s="22">
        <f t="shared" si="178"/>
        <v>0.58287286259650095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5.6843418860808015E-14</v>
      </c>
      <c r="EK188" s="17">
        <f>EJ188*VLOOKUP('Données projet'!$B$15,Paramètres!$A$1:$I$89,3,0)*VLOOKUP('Données projet'!$B$15,Paramètres!$A$1:$I$89,5,0)</f>
        <v>4.9658410716801891E-14</v>
      </c>
      <c r="EL188" s="13">
        <f t="shared" si="179"/>
        <v>8.0934058173791862E-13</v>
      </c>
      <c r="EM188" s="20">
        <f t="shared" si="180"/>
        <v>1.4960899118586383E-12</v>
      </c>
      <c r="EN188" s="59">
        <f t="shared" si="128"/>
        <v>293.33333333333479</v>
      </c>
      <c r="EO188" s="59">
        <f ca="1">AVERAGE(OFFSET($EN$3,0,0,'Données projet'!$E$15+1,1))-AVERAGE(OFFSET($H$3,0,0,'Données projet'!$E$15+1,1))</f>
        <v>255.2813753128475</v>
      </c>
      <c r="EP188" s="59">
        <f t="shared" si="154"/>
        <v>317.03005098025352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0.26194330341750749</v>
      </c>
      <c r="EW188" s="21">
        <f>EXP(-LN(2)/25)*EW187+(1-EXP(-LN(2)/25))/(LN(2)/25)*Calculateur!ER188*Calculateur!ET188*VLOOKUP('Données projet'!$B$15,Paramètres!$A$1:$I$89,3,0)*0.475*44/12</f>
        <v>0.23988342962354156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0.50182673304104908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1.7053025658242404E-13</v>
      </c>
      <c r="O189" s="13">
        <f>N189*VLOOKUP('Données projet'!$B$9,Paramètres!$A$1:$I$89,3,0)*VLOOKUP('Données projet'!$B$9,Paramètres!$A$1:$I$89,5,0)</f>
        <v>1.250327841262333E-13</v>
      </c>
      <c r="P189" s="13">
        <f t="shared" si="141"/>
        <v>1.8301318724634299E-12</v>
      </c>
      <c r="Q189" s="20">
        <f t="shared" si="162"/>
        <v>3.405245110226996E-12</v>
      </c>
      <c r="R189" s="59">
        <f t="shared" si="109"/>
        <v>293.33333333333672</v>
      </c>
      <c r="S189" s="59">
        <f ca="1">AVERAGE(OFFSET($R$3,0,0,'Données projet'!$E$9+1,1))-AVERAGE(OFFSET($H$3,0,0,'Données projet'!$E$9+1,1))</f>
        <v>193.60868637458515</v>
      </c>
      <c r="T189" s="59">
        <f t="shared" si="142"/>
        <v>272.97841038165217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-1.3567387213697657E-13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281.79835088425858</v>
      </c>
      <c r="AO189" s="59">
        <f t="shared" si="144"/>
        <v>345.4750813433123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343.6089004382095</v>
      </c>
      <c r="BJ189" s="59">
        <f t="shared" si="146"/>
        <v>278.21741231699929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4.4337866711430253E-14</v>
      </c>
      <c r="CA189" s="13">
        <f t="shared" si="170"/>
        <v>7.3222115536967035E-13</v>
      </c>
      <c r="CB189" s="20">
        <f t="shared" si="171"/>
        <v>1.3525069634579169E-12</v>
      </c>
      <c r="CC189" s="59">
        <f t="shared" si="119"/>
        <v>293.33333333333468</v>
      </c>
      <c r="CD189" s="59">
        <f ca="1">AVERAGE(OFFSET($CC$3,0,0,'Données projet'!$E$12+1,1))-AVERAGE(OFFSET($H$3,0,0,'Données projet'!$E$12+1,1))</f>
        <v>288.82868507674738</v>
      </c>
      <c r="CE189" s="59">
        <f t="shared" si="148"/>
        <v>283.48738729114024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4.1484977186733198E-2</v>
      </c>
      <c r="CM189" s="21">
        <f>EXP(-LN(2)/2)*CM188+(1-EXP(-LN(2)/2))/(LN(2)/2)*CG189*CJ189*VLOOKUP('Données projet'!$B$12,Paramètres!$A$1:$I$89,3,0)*0.475*44/12</f>
        <v>1.0819877889199186E-23</v>
      </c>
      <c r="CN189" s="22">
        <f t="shared" si="172"/>
        <v>4.1484977186733198E-2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-5.6843418860808015E-14</v>
      </c>
      <c r="CU189" s="17">
        <f>CT189*VLOOKUP('Données projet'!$B$13,Paramètres!$A$1:$I$89,3,0)*VLOOKUP('Données projet'!$B$13,Paramètres!$A$1:$I$89,5,0)</f>
        <v>-4.8771653382573282E-14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273.73158910361786</v>
      </c>
      <c r="CZ189" s="59">
        <f t="shared" si="150"/>
        <v>256.77417912163997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-3.4106051316484809E-13</v>
      </c>
      <c r="DP189" s="17">
        <f>DO189*VLOOKUP('Données projet'!$B$14,Paramètres!$A$1:$I$89,3,0)*VLOOKUP('Données projet'!$B$14,Paramètres!$A$1:$I$89,5,0)</f>
        <v>-1.9065282685915009E-13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534.78683721545372</v>
      </c>
      <c r="DU189" s="59">
        <f t="shared" si="152"/>
        <v>710.59298755711075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0.24881350964237267</v>
      </c>
      <c r="EB189" s="21">
        <f>EXP(-LN(2)/25)*EB188+(1-EXP(-LN(2)/25))/(LN(2)/25)*Calculateur!DW189*Calculateur!DY189*VLOOKUP('Données projet'!$B$14,Paramètres!$A$1:$I$89,3,0)*0.475*44/12</f>
        <v>0.32008389906191909</v>
      </c>
      <c r="EC189" s="21">
        <f>EXP(-LN(2)/2)*EC188+(1-EXP(-LN(2)/2))/(LN(2)/2)*DW189*DZ189*VLOOKUP('Données projet'!$B$14,Paramètres!$A$1:$I$89,3,0)*0.475*44/12</f>
        <v>3.8710954342639898E-23</v>
      </c>
      <c r="ED189" s="22">
        <f t="shared" si="178"/>
        <v>0.56889740870429173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5.6843418860808015E-14</v>
      </c>
      <c r="EK189" s="17">
        <f>EJ189*VLOOKUP('Données projet'!$B$15,Paramètres!$A$1:$I$89,3,0)*VLOOKUP('Données projet'!$B$15,Paramètres!$A$1:$I$89,5,0)</f>
        <v>4.9658410716801891E-14</v>
      </c>
      <c r="EL189" s="13">
        <f t="shared" si="179"/>
        <v>8.0934058173791862E-13</v>
      </c>
      <c r="EM189" s="20">
        <f t="shared" si="180"/>
        <v>1.4960899118586383E-12</v>
      </c>
      <c r="EN189" s="59">
        <f t="shared" si="128"/>
        <v>293.33333333333479</v>
      </c>
      <c r="EO189" s="59">
        <f ca="1">AVERAGE(OFFSET($EN$3,0,0,'Données projet'!$E$15+1,1))-AVERAGE(OFFSET($H$3,0,0,'Données projet'!$E$15+1,1))</f>
        <v>255.2813753128475</v>
      </c>
      <c r="EP189" s="59">
        <f t="shared" si="154"/>
        <v>317.03005098025352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0.25680675500712929</v>
      </c>
      <c r="EW189" s="21">
        <f>EXP(-LN(2)/25)*EW188+(1-EXP(-LN(2)/25))/(LN(2)/25)*Calculateur!ER189*Calculateur!ET189*VLOOKUP('Données projet'!$B$15,Paramètres!$A$1:$I$89,3,0)*0.475*44/12</f>
        <v>0.23332380462556451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0.49013055963269381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1.7053025658242404E-13</v>
      </c>
      <c r="O190" s="13">
        <f>N190*VLOOKUP('Données projet'!$B$9,Paramètres!$A$1:$I$89,3,0)*VLOOKUP('Données projet'!$B$9,Paramètres!$A$1:$I$89,5,0)</f>
        <v>1.250327841262333E-13</v>
      </c>
      <c r="P190" s="13">
        <f t="shared" si="141"/>
        <v>1.8301318724634299E-12</v>
      </c>
      <c r="Q190" s="20">
        <f t="shared" si="162"/>
        <v>3.405245110226996E-12</v>
      </c>
      <c r="R190" s="59">
        <f t="shared" si="109"/>
        <v>293.33333333333672</v>
      </c>
      <c r="S190" s="59">
        <f ca="1">AVERAGE(OFFSET($R$3,0,0,'Données projet'!$E$9+1,1))-AVERAGE(OFFSET($H$3,0,0,'Données projet'!$E$9+1,1))</f>
        <v>193.60868637458515</v>
      </c>
      <c r="T190" s="59">
        <f t="shared" si="142"/>
        <v>272.97841038165217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-1.3567387213697657E-13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281.79835088425858</v>
      </c>
      <c r="AO190" s="59">
        <f t="shared" si="144"/>
        <v>345.4750813433123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343.6089004382095</v>
      </c>
      <c r="BJ190" s="59">
        <f t="shared" si="146"/>
        <v>278.21741231699929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4.4337866711430253E-14</v>
      </c>
      <c r="CA190" s="13">
        <f t="shared" si="170"/>
        <v>7.3222115536967035E-13</v>
      </c>
      <c r="CB190" s="20">
        <f t="shared" si="171"/>
        <v>1.3525069634579169E-12</v>
      </c>
      <c r="CC190" s="59">
        <f t="shared" si="119"/>
        <v>293.33333333333468</v>
      </c>
      <c r="CD190" s="59">
        <f ca="1">AVERAGE(OFFSET($CC$3,0,0,'Données projet'!$E$12+1,1))-AVERAGE(OFFSET($H$3,0,0,'Données projet'!$E$12+1,1))</f>
        <v>288.82868507674738</v>
      </c>
      <c r="CE190" s="59">
        <f t="shared" si="148"/>
        <v>283.48738729114024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4.0350568303961845E-2</v>
      </c>
      <c r="CM190" s="21">
        <f>EXP(-LN(2)/2)*CM189+(1-EXP(-LN(2)/2))/(LN(2)/2)*CG190*CJ190*VLOOKUP('Données projet'!$B$12,Paramètres!$A$1:$I$89,3,0)*0.475*44/12</f>
        <v>7.6508090270631323E-24</v>
      </c>
      <c r="CN190" s="22">
        <f t="shared" si="172"/>
        <v>4.0350568303961845E-2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-5.6843418860808015E-14</v>
      </c>
      <c r="CU190" s="17">
        <f>CT190*VLOOKUP('Données projet'!$B$13,Paramètres!$A$1:$I$89,3,0)*VLOOKUP('Données projet'!$B$13,Paramètres!$A$1:$I$89,5,0)</f>
        <v>-4.8771653382573282E-14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273.73158910361786</v>
      </c>
      <c r="CZ190" s="59">
        <f t="shared" si="150"/>
        <v>256.77417912163997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-3.4106051316484809E-13</v>
      </c>
      <c r="DP190" s="17">
        <f>DO190*VLOOKUP('Données projet'!$B$14,Paramètres!$A$1:$I$89,3,0)*VLOOKUP('Données projet'!$B$14,Paramètres!$A$1:$I$89,5,0)</f>
        <v>-1.9065282685915009E-13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534.78683721545372</v>
      </c>
      <c r="DU190" s="59">
        <f t="shared" si="152"/>
        <v>710.59298755711075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0.24393442847954144</v>
      </c>
      <c r="EB190" s="21">
        <f>EXP(-LN(2)/25)*EB189+(1-EXP(-LN(2)/25))/(LN(2)/25)*Calculateur!DW190*Calculateur!DY190*VLOOKUP('Données projet'!$B$14,Paramètres!$A$1:$I$89,3,0)*0.475*44/12</f>
        <v>0.3113311880095902</v>
      </c>
      <c r="EC190" s="21">
        <f>EXP(-LN(2)/2)*EC189+(1-EXP(-LN(2)/2))/(LN(2)/2)*DW190*DZ190*VLOOKUP('Données projet'!$B$14,Paramètres!$A$1:$I$89,3,0)*0.475*44/12</f>
        <v>2.7372778321883502E-23</v>
      </c>
      <c r="ED190" s="22">
        <f t="shared" si="178"/>
        <v>0.55526561648913164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5.6843418860808015E-14</v>
      </c>
      <c r="EK190" s="17">
        <f>EJ190*VLOOKUP('Données projet'!$B$15,Paramètres!$A$1:$I$89,3,0)*VLOOKUP('Données projet'!$B$15,Paramètres!$A$1:$I$89,5,0)</f>
        <v>4.9658410716801891E-14</v>
      </c>
      <c r="EL190" s="13">
        <f t="shared" si="179"/>
        <v>8.0934058173791862E-13</v>
      </c>
      <c r="EM190" s="20">
        <f t="shared" si="180"/>
        <v>1.4960899118586383E-12</v>
      </c>
      <c r="EN190" s="59">
        <f t="shared" si="128"/>
        <v>293.33333333333479</v>
      </c>
      <c r="EO190" s="59">
        <f ca="1">AVERAGE(OFFSET($EN$3,0,0,'Données projet'!$E$15+1,1))-AVERAGE(OFFSET($H$3,0,0,'Données projet'!$E$15+1,1))</f>
        <v>255.2813753128475</v>
      </c>
      <c r="EP190" s="59">
        <f t="shared" si="154"/>
        <v>317.03005098025352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0.25177093117809346</v>
      </c>
      <c r="EW190" s="21">
        <f>EXP(-LN(2)/25)*EW189+(1-EXP(-LN(2)/25))/(LN(2)/25)*Calculateur!ER190*Calculateur!ET190*VLOOKUP('Données projet'!$B$15,Paramètres!$A$1:$I$89,3,0)*0.475*44/12</f>
        <v>0.22694355291811283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0.47871448409620632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1.7053025658242404E-13</v>
      </c>
      <c r="O191" s="13">
        <f>N191*VLOOKUP('Données projet'!$B$9,Paramètres!$A$1:$I$89,3,0)*VLOOKUP('Données projet'!$B$9,Paramètres!$A$1:$I$89,5,0)</f>
        <v>1.250327841262333E-13</v>
      </c>
      <c r="P191" s="13">
        <f t="shared" si="141"/>
        <v>1.8301318724634299E-12</v>
      </c>
      <c r="Q191" s="20">
        <f t="shared" si="162"/>
        <v>3.405245110226996E-12</v>
      </c>
      <c r="R191" s="59">
        <f t="shared" si="109"/>
        <v>293.33333333333672</v>
      </c>
      <c r="S191" s="59">
        <f ca="1">AVERAGE(OFFSET($R$3,0,0,'Données projet'!$E$9+1,1))-AVERAGE(OFFSET($H$3,0,0,'Données projet'!$E$9+1,1))</f>
        <v>193.60868637458515</v>
      </c>
      <c r="T191" s="59">
        <f t="shared" si="142"/>
        <v>272.97841038165217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-1.3567387213697657E-13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281.79835088425858</v>
      </c>
      <c r="AO191" s="59">
        <f t="shared" si="144"/>
        <v>345.4750813433123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343.6089004382095</v>
      </c>
      <c r="BJ191" s="59">
        <f t="shared" si="146"/>
        <v>278.21741231699929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4.4337866711430253E-14</v>
      </c>
      <c r="CA191" s="13">
        <f t="shared" si="170"/>
        <v>7.3222115536967035E-13</v>
      </c>
      <c r="CB191" s="20">
        <f t="shared" si="171"/>
        <v>1.3525069634579169E-12</v>
      </c>
      <c r="CC191" s="59">
        <f t="shared" si="119"/>
        <v>293.33333333333468</v>
      </c>
      <c r="CD191" s="59">
        <f ca="1">AVERAGE(OFFSET($CC$3,0,0,'Données projet'!$E$12+1,1))-AVERAGE(OFFSET($H$3,0,0,'Données projet'!$E$12+1,1))</f>
        <v>288.82868507674738</v>
      </c>
      <c r="CE191" s="59">
        <f t="shared" si="148"/>
        <v>283.48738729114024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3.9247179891745844E-2</v>
      </c>
      <c r="CM191" s="21">
        <f>EXP(-LN(2)/2)*CM190+(1-EXP(-LN(2)/2))/(LN(2)/2)*CG191*CJ191*VLOOKUP('Données projet'!$B$12,Paramètres!$A$1:$I$89,3,0)*0.475*44/12</f>
        <v>5.4099389445995929E-24</v>
      </c>
      <c r="CN191" s="22">
        <f t="shared" si="172"/>
        <v>3.9247179891745844E-2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-5.6843418860808015E-14</v>
      </c>
      <c r="CU191" s="17">
        <f>CT191*VLOOKUP('Données projet'!$B$13,Paramètres!$A$1:$I$89,3,0)*VLOOKUP('Données projet'!$B$13,Paramètres!$A$1:$I$89,5,0)</f>
        <v>-4.8771653382573282E-14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273.73158910361786</v>
      </c>
      <c r="CZ191" s="59">
        <f t="shared" si="150"/>
        <v>256.77417912163997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-3.4106051316484809E-13</v>
      </c>
      <c r="DP191" s="17">
        <f>DO191*VLOOKUP('Données projet'!$B$14,Paramètres!$A$1:$I$89,3,0)*VLOOKUP('Données projet'!$B$14,Paramètres!$A$1:$I$89,5,0)</f>
        <v>-1.9065282685915009E-13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534.78683721545372</v>
      </c>
      <c r="DU191" s="59">
        <f t="shared" si="152"/>
        <v>710.59298755711075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0.23915102312236769</v>
      </c>
      <c r="EB191" s="21">
        <f>EXP(-LN(2)/25)*EB190+(1-EXP(-LN(2)/25))/(LN(2)/25)*Calculateur!DW191*Calculateur!DY191*VLOOKUP('Données projet'!$B$14,Paramètres!$A$1:$I$89,3,0)*0.475*44/12</f>
        <v>0.30281782030127236</v>
      </c>
      <c r="EC191" s="21">
        <f>EXP(-LN(2)/2)*EC190+(1-EXP(-LN(2)/2))/(LN(2)/2)*DW191*DZ191*VLOOKUP('Données projet'!$B$14,Paramètres!$A$1:$I$89,3,0)*0.475*44/12</f>
        <v>1.9355477171319949E-23</v>
      </c>
      <c r="ED191" s="22">
        <f t="shared" si="178"/>
        <v>0.54196884342364005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5.6843418860808015E-14</v>
      </c>
      <c r="EK191" s="17">
        <f>EJ191*VLOOKUP('Données projet'!$B$15,Paramètres!$A$1:$I$89,3,0)*VLOOKUP('Données projet'!$B$15,Paramètres!$A$1:$I$89,5,0)</f>
        <v>4.9658410716801891E-14</v>
      </c>
      <c r="EL191" s="13">
        <f t="shared" si="179"/>
        <v>8.0934058173791862E-13</v>
      </c>
      <c r="EM191" s="20">
        <f t="shared" si="180"/>
        <v>1.4960899118586383E-12</v>
      </c>
      <c r="EN191" s="59">
        <f t="shared" si="128"/>
        <v>293.33333333333479</v>
      </c>
      <c r="EO191" s="59">
        <f ca="1">AVERAGE(OFFSET($EN$3,0,0,'Données projet'!$E$15+1,1))-AVERAGE(OFFSET($H$3,0,0,'Données projet'!$E$15+1,1))</f>
        <v>255.2813753128475</v>
      </c>
      <c r="EP191" s="59">
        <f t="shared" si="154"/>
        <v>317.03005098025352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0.24683385678279576</v>
      </c>
      <c r="EW191" s="21">
        <f>EXP(-LN(2)/25)*EW190+(1-EXP(-LN(2)/25))/(LN(2)/25)*Calculateur!ER191*Calculateur!ET191*VLOOKUP('Données projet'!$B$15,Paramètres!$A$1:$I$89,3,0)*0.475*44/12</f>
        <v>0.22073776952912427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0.46757162631192006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1.7053025658242404E-13</v>
      </c>
      <c r="O192" s="13">
        <f>N192*VLOOKUP('Données projet'!$B$9,Paramètres!$A$1:$I$89,3,0)*VLOOKUP('Données projet'!$B$9,Paramètres!$A$1:$I$89,5,0)</f>
        <v>1.250327841262333E-13</v>
      </c>
      <c r="P192" s="13">
        <f t="shared" si="141"/>
        <v>1.8301318724634299E-12</v>
      </c>
      <c r="Q192" s="20">
        <f t="shared" si="162"/>
        <v>3.405245110226996E-12</v>
      </c>
      <c r="R192" s="59">
        <f t="shared" si="109"/>
        <v>293.33333333333672</v>
      </c>
      <c r="S192" s="59">
        <f ca="1">AVERAGE(OFFSET($R$3,0,0,'Données projet'!$E$9+1,1))-AVERAGE(OFFSET($H$3,0,0,'Données projet'!$E$9+1,1))</f>
        <v>193.60868637458515</v>
      </c>
      <c r="T192" s="59">
        <f t="shared" si="142"/>
        <v>272.97841038165217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-1.3567387213697657E-13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281.79835088425858</v>
      </c>
      <c r="AO192" s="59">
        <f t="shared" si="144"/>
        <v>345.4750813433123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343.6089004382095</v>
      </c>
      <c r="BJ192" s="59">
        <f t="shared" si="146"/>
        <v>278.21741231699929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4.4337866711430253E-14</v>
      </c>
      <c r="CA192" s="13">
        <f t="shared" si="170"/>
        <v>7.3222115536967035E-13</v>
      </c>
      <c r="CB192" s="20">
        <f t="shared" si="171"/>
        <v>1.3525069634579169E-12</v>
      </c>
      <c r="CC192" s="59">
        <f t="shared" si="119"/>
        <v>293.33333333333468</v>
      </c>
      <c r="CD192" s="59">
        <f ca="1">AVERAGE(OFFSET($CC$3,0,0,'Données projet'!$E$12+1,1))-AVERAGE(OFFSET($H$3,0,0,'Données projet'!$E$12+1,1))</f>
        <v>288.82868507674738</v>
      </c>
      <c r="CE192" s="59">
        <f t="shared" si="148"/>
        <v>283.48738729114024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3.8173963693686565E-2</v>
      </c>
      <c r="CM192" s="21">
        <f>EXP(-LN(2)/2)*CM191+(1-EXP(-LN(2)/2))/(LN(2)/2)*CG192*CJ192*VLOOKUP('Données projet'!$B$12,Paramètres!$A$1:$I$89,3,0)*0.475*44/12</f>
        <v>3.8254045135315661E-24</v>
      </c>
      <c r="CN192" s="22">
        <f t="shared" si="172"/>
        <v>3.8173963693686565E-2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-5.6843418860808015E-14</v>
      </c>
      <c r="CU192" s="17">
        <f>CT192*VLOOKUP('Données projet'!$B$13,Paramètres!$A$1:$I$89,3,0)*VLOOKUP('Données projet'!$B$13,Paramètres!$A$1:$I$89,5,0)</f>
        <v>-4.8771653382573282E-14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273.73158910361786</v>
      </c>
      <c r="CZ192" s="59">
        <f t="shared" si="150"/>
        <v>256.77417912163997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-3.4106051316484809E-13</v>
      </c>
      <c r="DP192" s="17">
        <f>DO192*VLOOKUP('Données projet'!$B$14,Paramètres!$A$1:$I$89,3,0)*VLOOKUP('Données projet'!$B$14,Paramètres!$A$1:$I$89,5,0)</f>
        <v>-1.9065282685915009E-13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534.78683721545372</v>
      </c>
      <c r="DU192" s="59">
        <f t="shared" si="152"/>
        <v>710.59298755711075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0.23446141742665894</v>
      </c>
      <c r="EB192" s="21">
        <f>EXP(-LN(2)/25)*EB191+(1-EXP(-LN(2)/25))/(LN(2)/25)*Calculateur!DW192*Calculateur!DY192*VLOOKUP('Données projet'!$B$14,Paramètres!$A$1:$I$89,3,0)*0.475*44/12</f>
        <v>0.294537251080637</v>
      </c>
      <c r="EC192" s="21">
        <f>EXP(-LN(2)/2)*EC191+(1-EXP(-LN(2)/2))/(LN(2)/2)*DW192*DZ192*VLOOKUP('Données projet'!$B$14,Paramètres!$A$1:$I$89,3,0)*0.475*44/12</f>
        <v>1.3686389160941751E-23</v>
      </c>
      <c r="ED192" s="22">
        <f t="shared" si="178"/>
        <v>0.52899866850729593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5.6843418860808015E-14</v>
      </c>
      <c r="EK192" s="17">
        <f>EJ192*VLOOKUP('Données projet'!$B$15,Paramètres!$A$1:$I$89,3,0)*VLOOKUP('Données projet'!$B$15,Paramètres!$A$1:$I$89,5,0)</f>
        <v>4.9658410716801891E-14</v>
      </c>
      <c r="EL192" s="13">
        <f t="shared" si="179"/>
        <v>8.0934058173791862E-13</v>
      </c>
      <c r="EM192" s="20">
        <f t="shared" si="180"/>
        <v>1.4960899118586383E-12</v>
      </c>
      <c r="EN192" s="59">
        <f t="shared" si="128"/>
        <v>293.33333333333479</v>
      </c>
      <c r="EO192" s="59">
        <f ca="1">AVERAGE(OFFSET($EN$3,0,0,'Données projet'!$E$15+1,1))-AVERAGE(OFFSET($H$3,0,0,'Données projet'!$E$15+1,1))</f>
        <v>255.2813753128475</v>
      </c>
      <c r="EP192" s="59">
        <f t="shared" si="154"/>
        <v>317.03005098025352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0.24199359540507182</v>
      </c>
      <c r="EW192" s="21">
        <f>EXP(-LN(2)/25)*EW191+(1-EXP(-LN(2)/25))/(LN(2)/25)*Calculateur!ER192*Calculateur!ET192*VLOOKUP('Données projet'!$B$15,Paramètres!$A$1:$I$89,3,0)*0.475*44/12</f>
        <v>0.21470168361325556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0.4566952790183274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1.7053025658242404E-13</v>
      </c>
      <c r="O193" s="13">
        <f>N193*VLOOKUP('Données projet'!$B$9,Paramètres!$A$1:$I$89,3,0)*VLOOKUP('Données projet'!$B$9,Paramètres!$A$1:$I$89,5,0)</f>
        <v>1.250327841262333E-13</v>
      </c>
      <c r="P193" s="13">
        <f t="shared" si="141"/>
        <v>1.8301318724634299E-12</v>
      </c>
      <c r="Q193" s="20">
        <f t="shared" si="162"/>
        <v>3.405245110226996E-12</v>
      </c>
      <c r="R193" s="59">
        <f t="shared" si="109"/>
        <v>293.33333333333672</v>
      </c>
      <c r="S193" s="59">
        <f ca="1">AVERAGE(OFFSET($R$3,0,0,'Données projet'!$E$9+1,1))-AVERAGE(OFFSET($H$3,0,0,'Données projet'!$E$9+1,1))</f>
        <v>193.60868637458515</v>
      </c>
      <c r="T193" s="59">
        <f t="shared" si="142"/>
        <v>272.97841038165217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-1.3567387213697657E-13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281.79835088425858</v>
      </c>
      <c r="AO193" s="59">
        <f t="shared" si="144"/>
        <v>345.4750813433123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343.6089004382095</v>
      </c>
      <c r="BJ193" s="59">
        <f t="shared" si="146"/>
        <v>278.21741231699929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4.4337866711430253E-14</v>
      </c>
      <c r="CA193" s="13">
        <f t="shared" si="170"/>
        <v>7.3222115536967035E-13</v>
      </c>
      <c r="CB193" s="20">
        <f t="shared" si="171"/>
        <v>1.3525069634579169E-12</v>
      </c>
      <c r="CC193" s="59">
        <f t="shared" si="119"/>
        <v>293.33333333333468</v>
      </c>
      <c r="CD193" s="59">
        <f ca="1">AVERAGE(OFFSET($CC$3,0,0,'Données projet'!$E$12+1,1))-AVERAGE(OFFSET($H$3,0,0,'Données projet'!$E$12+1,1))</f>
        <v>288.82868507674738</v>
      </c>
      <c r="CE193" s="59">
        <f t="shared" si="148"/>
        <v>283.48738729114024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3.7130094649001202E-2</v>
      </c>
      <c r="CM193" s="21">
        <f>EXP(-LN(2)/2)*CM192+(1-EXP(-LN(2)/2))/(LN(2)/2)*CG193*CJ193*VLOOKUP('Données projet'!$B$12,Paramètres!$A$1:$I$89,3,0)*0.475*44/12</f>
        <v>2.7049694722997964E-24</v>
      </c>
      <c r="CN193" s="22">
        <f t="shared" si="172"/>
        <v>3.7130094649001202E-2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-5.6843418860808015E-14</v>
      </c>
      <c r="CU193" s="17">
        <f>CT193*VLOOKUP('Données projet'!$B$13,Paramètres!$A$1:$I$89,3,0)*VLOOKUP('Données projet'!$B$13,Paramètres!$A$1:$I$89,5,0)</f>
        <v>-4.8771653382573282E-14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273.73158910361786</v>
      </c>
      <c r="CZ193" s="59">
        <f t="shared" si="150"/>
        <v>256.77417912163997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-3.4106051316484809E-13</v>
      </c>
      <c r="DP193" s="17">
        <f>DO193*VLOOKUP('Données projet'!$B$14,Paramètres!$A$1:$I$89,3,0)*VLOOKUP('Données projet'!$B$14,Paramètres!$A$1:$I$89,5,0)</f>
        <v>-1.9065282685915009E-13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534.78683721545372</v>
      </c>
      <c r="DU193" s="59">
        <f t="shared" si="152"/>
        <v>710.59298755711075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0.229863772038266</v>
      </c>
      <c r="EB193" s="21">
        <f>EXP(-LN(2)/25)*EB192+(1-EXP(-LN(2)/25))/(LN(2)/25)*Calculateur!DW193*Calculateur!DY193*VLOOKUP('Données projet'!$B$14,Paramètres!$A$1:$I$89,3,0)*0.475*44/12</f>
        <v>0.28648311446079611</v>
      </c>
      <c r="EC193" s="21">
        <f>EXP(-LN(2)/2)*EC192+(1-EXP(-LN(2)/2))/(LN(2)/2)*DW193*DZ193*VLOOKUP('Données projet'!$B$14,Paramètres!$A$1:$I$89,3,0)*0.475*44/12</f>
        <v>9.6777385856599745E-24</v>
      </c>
      <c r="ED193" s="22">
        <f t="shared" si="178"/>
        <v>0.51634688649906213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5.6843418860808015E-14</v>
      </c>
      <c r="EK193" s="17">
        <f>EJ193*VLOOKUP('Données projet'!$B$15,Paramètres!$A$1:$I$89,3,0)*VLOOKUP('Données projet'!$B$15,Paramètres!$A$1:$I$89,5,0)</f>
        <v>4.9658410716801891E-14</v>
      </c>
      <c r="EL193" s="13">
        <f t="shared" si="179"/>
        <v>8.0934058173791862E-13</v>
      </c>
      <c r="EM193" s="20">
        <f t="shared" si="180"/>
        <v>1.4960899118586383E-12</v>
      </c>
      <c r="EN193" s="59">
        <f t="shared" si="128"/>
        <v>293.33333333333479</v>
      </c>
      <c r="EO193" s="59">
        <f ca="1">AVERAGE(OFFSET($EN$3,0,0,'Données projet'!$E$15+1,1))-AVERAGE(OFFSET($H$3,0,0,'Données projet'!$E$15+1,1))</f>
        <v>255.2813753128475</v>
      </c>
      <c r="EP193" s="59">
        <f t="shared" si="154"/>
        <v>317.03005098025352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0.23724824860069713</v>
      </c>
      <c r="EW193" s="21">
        <f>EXP(-LN(2)/25)*EW192+(1-EXP(-LN(2)/25))/(LN(2)/25)*Calculateur!ER193*Calculateur!ET193*VLOOKUP('Données projet'!$B$15,Paramètres!$A$1:$I$89,3,0)*0.475*44/12</f>
        <v>0.20883065478418025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0.44607890338487738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1.7053025658242404E-13</v>
      </c>
      <c r="O194" s="13">
        <f>N194*VLOOKUP('Données projet'!$B$9,Paramètres!$A$1:$I$89,3,0)*VLOOKUP('Données projet'!$B$9,Paramètres!$A$1:$I$89,5,0)</f>
        <v>1.250327841262333E-13</v>
      </c>
      <c r="P194" s="13">
        <f t="shared" si="141"/>
        <v>1.8301318724634299E-12</v>
      </c>
      <c r="Q194" s="20">
        <f t="shared" si="162"/>
        <v>3.405245110226996E-12</v>
      </c>
      <c r="R194" s="59">
        <f t="shared" si="109"/>
        <v>293.33333333333672</v>
      </c>
      <c r="S194" s="59">
        <f ca="1">AVERAGE(OFFSET($R$3,0,0,'Données projet'!$E$9+1,1))-AVERAGE(OFFSET($H$3,0,0,'Données projet'!$E$9+1,1))</f>
        <v>193.60868637458515</v>
      </c>
      <c r="T194" s="59">
        <f t="shared" si="142"/>
        <v>272.97841038165217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-1.3567387213697657E-13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281.79835088425858</v>
      </c>
      <c r="AO194" s="59">
        <f t="shared" si="144"/>
        <v>345.4750813433123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343.6089004382095</v>
      </c>
      <c r="BJ194" s="59">
        <f t="shared" si="146"/>
        <v>278.21741231699929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4.4337866711430253E-14</v>
      </c>
      <c r="CA194" s="13">
        <f t="shared" si="170"/>
        <v>7.3222115536967035E-13</v>
      </c>
      <c r="CB194" s="20">
        <f t="shared" si="171"/>
        <v>1.3525069634579169E-12</v>
      </c>
      <c r="CC194" s="59">
        <f t="shared" si="119"/>
        <v>293.33333333333468</v>
      </c>
      <c r="CD194" s="59">
        <f ca="1">AVERAGE(OFFSET($CC$3,0,0,'Données projet'!$E$12+1,1))-AVERAGE(OFFSET($H$3,0,0,'Données projet'!$E$12+1,1))</f>
        <v>288.82868507674738</v>
      </c>
      <c r="CE194" s="59">
        <f t="shared" si="148"/>
        <v>283.48738729114024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3.611477025823745E-2</v>
      </c>
      <c r="CM194" s="21">
        <f>EXP(-LN(2)/2)*CM193+(1-EXP(-LN(2)/2))/(LN(2)/2)*CG194*CJ194*VLOOKUP('Données projet'!$B$12,Paramètres!$A$1:$I$89,3,0)*0.475*44/12</f>
        <v>1.9127022567657831E-24</v>
      </c>
      <c r="CN194" s="22">
        <f t="shared" si="172"/>
        <v>3.611477025823745E-2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-5.6843418860808015E-14</v>
      </c>
      <c r="CU194" s="17">
        <f>CT194*VLOOKUP('Données projet'!$B$13,Paramètres!$A$1:$I$89,3,0)*VLOOKUP('Données projet'!$B$13,Paramètres!$A$1:$I$89,5,0)</f>
        <v>-4.8771653382573282E-14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273.73158910361786</v>
      </c>
      <c r="CZ194" s="59">
        <f t="shared" si="150"/>
        <v>256.77417912163997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-3.4106051316484809E-13</v>
      </c>
      <c r="DP194" s="17">
        <f>DO194*VLOOKUP('Données projet'!$B$14,Paramètres!$A$1:$I$89,3,0)*VLOOKUP('Données projet'!$B$14,Paramètres!$A$1:$I$89,5,0)</f>
        <v>-1.9065282685915009E-13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534.78683721545372</v>
      </c>
      <c r="DU194" s="59">
        <f t="shared" si="152"/>
        <v>710.59298755711075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0.22535628367165264</v>
      </c>
      <c r="EB194" s="21">
        <f>EXP(-LN(2)/25)*EB193+(1-EXP(-LN(2)/25))/(LN(2)/25)*Calculateur!DW194*Calculateur!DY194*VLOOKUP('Données projet'!$B$14,Paramètres!$A$1:$I$89,3,0)*0.475*44/12</f>
        <v>0.2786492186303734</v>
      </c>
      <c r="EC194" s="21">
        <f>EXP(-LN(2)/2)*EC193+(1-EXP(-LN(2)/2))/(LN(2)/2)*DW194*DZ194*VLOOKUP('Données projet'!$B$14,Paramètres!$A$1:$I$89,3,0)*0.475*44/12</f>
        <v>6.8431945804708755E-24</v>
      </c>
      <c r="ED194" s="22">
        <f t="shared" si="178"/>
        <v>0.50400550230202601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5.6843418860808015E-14</v>
      </c>
      <c r="EK194" s="17">
        <f>EJ194*VLOOKUP('Données projet'!$B$15,Paramètres!$A$1:$I$89,3,0)*VLOOKUP('Données projet'!$B$15,Paramètres!$A$1:$I$89,5,0)</f>
        <v>4.9658410716801891E-14</v>
      </c>
      <c r="EL194" s="13">
        <f t="shared" si="179"/>
        <v>8.0934058173791862E-13</v>
      </c>
      <c r="EM194" s="20">
        <f t="shared" si="180"/>
        <v>1.4960899118586383E-12</v>
      </c>
      <c r="EN194" s="59">
        <f t="shared" si="128"/>
        <v>293.33333333333479</v>
      </c>
      <c r="EO194" s="59">
        <f ca="1">AVERAGE(OFFSET($EN$3,0,0,'Données projet'!$E$15+1,1))-AVERAGE(OFFSET($H$3,0,0,'Données projet'!$E$15+1,1))</f>
        <v>255.2813753128475</v>
      </c>
      <c r="EP194" s="59">
        <f t="shared" si="154"/>
        <v>317.03005098025352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0.23259595515278045</v>
      </c>
      <c r="EW194" s="21">
        <f>EXP(-LN(2)/25)*EW193+(1-EXP(-LN(2)/25))/(LN(2)/25)*Calculateur!ER194*Calculateur!ET194*VLOOKUP('Données projet'!$B$15,Paramètres!$A$1:$I$89,3,0)*0.475*44/12</f>
        <v>0.20312016954717999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0.43571612469996046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1.7053025658242404E-13</v>
      </c>
      <c r="O195" s="13">
        <f>N195*VLOOKUP('Données projet'!$B$9,Paramètres!$A$1:$I$89,3,0)*VLOOKUP('Données projet'!$B$9,Paramètres!$A$1:$I$89,5,0)</f>
        <v>1.250327841262333E-13</v>
      </c>
      <c r="P195" s="13">
        <f t="shared" si="141"/>
        <v>1.8301318724634299E-12</v>
      </c>
      <c r="Q195" s="20">
        <f t="shared" si="162"/>
        <v>3.405245110226996E-12</v>
      </c>
      <c r="R195" s="59">
        <f t="shared" ref="R195:R203" si="191">Q195+(I195+J195)*44/12</f>
        <v>293.33333333333672</v>
      </c>
      <c r="S195" s="59">
        <f ca="1">AVERAGE(OFFSET($R$3,0,0,'Données projet'!$E$9+1,1))-AVERAGE(OFFSET($H$3,0,0,'Données projet'!$E$9+1,1))</f>
        <v>193.60868637458515</v>
      </c>
      <c r="T195" s="59">
        <f t="shared" si="142"/>
        <v>272.97841038165217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-1.3567387213697657E-13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281.79835088425858</v>
      </c>
      <c r="AO195" s="59">
        <f t="shared" si="144"/>
        <v>345.4750813433123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343.6089004382095</v>
      </c>
      <c r="BJ195" s="59">
        <f t="shared" si="146"/>
        <v>278.21741231699929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4.4337866711430253E-14</v>
      </c>
      <c r="CA195" s="13">
        <f t="shared" si="170"/>
        <v>7.3222115536967035E-13</v>
      </c>
      <c r="CB195" s="20">
        <f t="shared" si="171"/>
        <v>1.3525069634579169E-12</v>
      </c>
      <c r="CC195" s="59">
        <f t="shared" si="119"/>
        <v>293.33333333333468</v>
      </c>
      <c r="CD195" s="59">
        <f ca="1">AVERAGE(OFFSET($CC$3,0,0,'Données projet'!$E$12+1,1))-AVERAGE(OFFSET($H$3,0,0,'Données projet'!$E$12+1,1))</f>
        <v>288.82868507674738</v>
      </c>
      <c r="CE195" s="59">
        <f t="shared" si="148"/>
        <v>283.48738729114024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3.5127209966332722E-2</v>
      </c>
      <c r="CM195" s="21">
        <f>EXP(-LN(2)/2)*CM194+(1-EXP(-LN(2)/2))/(LN(2)/2)*CG195*CJ195*VLOOKUP('Données projet'!$B$12,Paramètres!$A$1:$I$89,3,0)*0.475*44/12</f>
        <v>1.3524847361498982E-24</v>
      </c>
      <c r="CN195" s="22">
        <f t="shared" si="172"/>
        <v>3.5127209966332722E-2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-5.6843418860808015E-14</v>
      </c>
      <c r="CU195" s="17">
        <f>CT195*VLOOKUP('Données projet'!$B$13,Paramètres!$A$1:$I$89,3,0)*VLOOKUP('Données projet'!$B$13,Paramètres!$A$1:$I$89,5,0)</f>
        <v>-4.8771653382573282E-14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273.73158910361786</v>
      </c>
      <c r="CZ195" s="59">
        <f t="shared" si="150"/>
        <v>256.77417912163997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-3.4106051316484809E-13</v>
      </c>
      <c r="DP195" s="17">
        <f>DO195*VLOOKUP('Données projet'!$B$14,Paramètres!$A$1:$I$89,3,0)*VLOOKUP('Données projet'!$B$14,Paramètres!$A$1:$I$89,5,0)</f>
        <v>-1.9065282685915009E-13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534.78683721545372</v>
      </c>
      <c r="DU195" s="59">
        <f t="shared" si="152"/>
        <v>710.59298755711075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0.22093718440261215</v>
      </c>
      <c r="EB195" s="21">
        <f>EXP(-LN(2)/25)*EB194+(1-EXP(-LN(2)/25))/(LN(2)/25)*Calculateur!DW195*Calculateur!DY195*VLOOKUP('Données projet'!$B$14,Paramètres!$A$1:$I$89,3,0)*0.475*44/12</f>
        <v>0.27102954109340027</v>
      </c>
      <c r="EC195" s="21">
        <f>EXP(-LN(2)/2)*EC194+(1-EXP(-LN(2)/2))/(LN(2)/2)*DW195*DZ195*VLOOKUP('Données projet'!$B$14,Paramètres!$A$1:$I$89,3,0)*0.475*44/12</f>
        <v>4.8388692928299873E-24</v>
      </c>
      <c r="ED195" s="22">
        <f t="shared" si="178"/>
        <v>0.49196672549601239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5.6843418860808015E-14</v>
      </c>
      <c r="EK195" s="17">
        <f>EJ195*VLOOKUP('Données projet'!$B$15,Paramètres!$A$1:$I$89,3,0)*VLOOKUP('Données projet'!$B$15,Paramètres!$A$1:$I$89,5,0)</f>
        <v>4.9658410716801891E-14</v>
      </c>
      <c r="EL195" s="13">
        <f t="shared" si="179"/>
        <v>8.0934058173791862E-13</v>
      </c>
      <c r="EM195" s="20">
        <f t="shared" si="180"/>
        <v>1.4960899118586383E-12</v>
      </c>
      <c r="EN195" s="59">
        <f t="shared" si="128"/>
        <v>293.33333333333479</v>
      </c>
      <c r="EO195" s="59">
        <f ca="1">AVERAGE(OFFSET($EN$3,0,0,'Données projet'!$E$15+1,1))-AVERAGE(OFFSET($H$3,0,0,'Données projet'!$E$15+1,1))</f>
        <v>255.2813753128475</v>
      </c>
      <c r="EP195" s="59">
        <f t="shared" si="154"/>
        <v>317.03005098025352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0.22803489034175861</v>
      </c>
      <c r="EW195" s="21">
        <f>EXP(-LN(2)/25)*EW194+(1-EXP(-LN(2)/25))/(LN(2)/25)*Calculateur!ER195*Calculateur!ET195*VLOOKUP('Données projet'!$B$15,Paramètres!$A$1:$I$89,3,0)*0.475*44/12</f>
        <v>0.19756583782928686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0.42560072817104544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1.7053025658242404E-13</v>
      </c>
      <c r="O196" s="13">
        <f>N196*VLOOKUP('Données projet'!$B$9,Paramètres!$A$1:$I$89,3,0)*VLOOKUP('Données projet'!$B$9,Paramètres!$A$1:$I$89,5,0)</f>
        <v>1.250327841262333E-13</v>
      </c>
      <c r="P196" s="13">
        <f t="shared" si="141"/>
        <v>1.8301318724634299E-12</v>
      </c>
      <c r="Q196" s="20">
        <f t="shared" si="162"/>
        <v>3.405245110226996E-12</v>
      </c>
      <c r="R196" s="59">
        <f t="shared" si="191"/>
        <v>293.33333333333672</v>
      </c>
      <c r="S196" s="59">
        <f ca="1">AVERAGE(OFFSET($R$3,0,0,'Données projet'!$E$9+1,1))-AVERAGE(OFFSET($H$3,0,0,'Données projet'!$E$9+1,1))</f>
        <v>193.60868637458515</v>
      </c>
      <c r="T196" s="59">
        <f t="shared" si="142"/>
        <v>272.97841038165217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-1.3567387213697657E-13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281.79835088425858</v>
      </c>
      <c r="AO196" s="59">
        <f t="shared" si="144"/>
        <v>345.4750813433123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343.6089004382095</v>
      </c>
      <c r="BJ196" s="59">
        <f t="shared" si="146"/>
        <v>278.21741231699929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4.4337866711430253E-14</v>
      </c>
      <c r="CA196" s="13">
        <f t="shared" si="170"/>
        <v>7.3222115536967035E-13</v>
      </c>
      <c r="CB196" s="20">
        <f t="shared" si="171"/>
        <v>1.3525069634579169E-12</v>
      </c>
      <c r="CC196" s="59">
        <f t="shared" ref="CC196:CC203" si="195">CB196+(BT196+BU196)*44/12</f>
        <v>293.33333333333468</v>
      </c>
      <c r="CD196" s="59">
        <f ca="1">AVERAGE(OFFSET($CC$3,0,0,'Données projet'!$E$12+1,1))-AVERAGE(OFFSET($H$3,0,0,'Données projet'!$E$12+1,1))</f>
        <v>288.82868507674738</v>
      </c>
      <c r="CE196" s="59">
        <f t="shared" si="148"/>
        <v>283.48738729114024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3.4166654562543669E-2</v>
      </c>
      <c r="CM196" s="21">
        <f>EXP(-LN(2)/2)*CM195+(1-EXP(-LN(2)/2))/(LN(2)/2)*CG196*CJ196*VLOOKUP('Données projet'!$B$12,Paramètres!$A$1:$I$89,3,0)*0.475*44/12</f>
        <v>9.5635112838289154E-25</v>
      </c>
      <c r="CN196" s="22">
        <f t="shared" si="172"/>
        <v>3.4166654562543669E-2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-5.6843418860808015E-14</v>
      </c>
      <c r="CU196" s="17">
        <f>CT196*VLOOKUP('Données projet'!$B$13,Paramètres!$A$1:$I$89,3,0)*VLOOKUP('Données projet'!$B$13,Paramètres!$A$1:$I$89,5,0)</f>
        <v>-4.8771653382573282E-14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273.73158910361786</v>
      </c>
      <c r="CZ196" s="59">
        <f t="shared" si="150"/>
        <v>256.77417912163997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-3.4106051316484809E-13</v>
      </c>
      <c r="DP196" s="17">
        <f>DO196*VLOOKUP('Données projet'!$B$14,Paramètres!$A$1:$I$89,3,0)*VLOOKUP('Données projet'!$B$14,Paramètres!$A$1:$I$89,5,0)</f>
        <v>-1.9065282685915009E-13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534.78683721545372</v>
      </c>
      <c r="DU196" s="59">
        <f t="shared" si="152"/>
        <v>710.59298755711075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0.21660474097485313</v>
      </c>
      <c r="EB196" s="21">
        <f>EXP(-LN(2)/25)*EB195+(1-EXP(-LN(2)/25))/(LN(2)/25)*Calculateur!DW196*Calculateur!DY196*VLOOKUP('Données projet'!$B$14,Paramètres!$A$1:$I$89,3,0)*0.475*44/12</f>
        <v>0.26361822403937712</v>
      </c>
      <c r="EC196" s="21">
        <f>EXP(-LN(2)/2)*EC195+(1-EXP(-LN(2)/2))/(LN(2)/2)*DW196*DZ196*VLOOKUP('Données projet'!$B$14,Paramètres!$A$1:$I$89,3,0)*0.475*44/12</f>
        <v>3.4215972902354377E-24</v>
      </c>
      <c r="ED196" s="22">
        <f t="shared" si="178"/>
        <v>0.48022296501423023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5.6843418860808015E-14</v>
      </c>
      <c r="EK196" s="17">
        <f>EJ196*VLOOKUP('Données projet'!$B$15,Paramètres!$A$1:$I$89,3,0)*VLOOKUP('Données projet'!$B$15,Paramètres!$A$1:$I$89,5,0)</f>
        <v>4.9658410716801891E-14</v>
      </c>
      <c r="EL196" s="13">
        <f t="shared" si="179"/>
        <v>8.0934058173791862E-13</v>
      </c>
      <c r="EM196" s="20">
        <f t="shared" si="180"/>
        <v>1.4960899118586383E-12</v>
      </c>
      <c r="EN196" s="59">
        <f t="shared" ref="EN196:EN203" si="198">EM196+(EE196+EF196)*44/12</f>
        <v>293.33333333333479</v>
      </c>
      <c r="EO196" s="59">
        <f ca="1">AVERAGE(OFFSET($EN$3,0,0,'Données projet'!$E$15+1,1))-AVERAGE(OFFSET($H$3,0,0,'Données projet'!$E$15+1,1))</f>
        <v>255.2813753128475</v>
      </c>
      <c r="EP196" s="59">
        <f t="shared" si="154"/>
        <v>317.03005098025352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0.22356326522970607</v>
      </c>
      <c r="EW196" s="21">
        <f>EXP(-LN(2)/25)*EW195+(1-EXP(-LN(2)/25))/(LN(2)/25)*Calculateur!ER196*Calculateur!ET196*VLOOKUP('Données projet'!$B$15,Paramètres!$A$1:$I$89,3,0)*0.475*44/12</f>
        <v>0.19216338960430915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0.41572665483401522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1.7053025658242404E-13</v>
      </c>
      <c r="O197" s="13">
        <f>N197*VLOOKUP('Données projet'!$B$9,Paramètres!$A$1:$I$89,3,0)*VLOOKUP('Données projet'!$B$9,Paramètres!$A$1:$I$89,5,0)</f>
        <v>1.250327841262333E-13</v>
      </c>
      <c r="P197" s="13">
        <f t="shared" ref="P197:P203" si="203">EXP(-1.0587+0.8836*LN(O197)+0.284)</f>
        <v>1.8301318724634299E-12</v>
      </c>
      <c r="Q197" s="20">
        <f t="shared" si="162"/>
        <v>3.405245110226996E-12</v>
      </c>
      <c r="R197" s="59">
        <f t="shared" si="191"/>
        <v>293.33333333333672</v>
      </c>
      <c r="S197" s="59">
        <f ca="1">AVERAGE(OFFSET($R$3,0,0,'Données projet'!$E$9+1,1))-AVERAGE(OFFSET($H$3,0,0,'Données projet'!$E$9+1,1))</f>
        <v>193.60868637458515</v>
      </c>
      <c r="T197" s="59">
        <f t="shared" ref="T197:T203" si="204">$T$3</f>
        <v>272.97841038165217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-1.3567387213697657E-13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281.79835088425858</v>
      </c>
      <c r="AO197" s="59">
        <f t="shared" ref="AO197:AO203" si="205">$AO$3</f>
        <v>345.4750813433123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343.6089004382095</v>
      </c>
      <c r="BJ197" s="59">
        <f t="shared" ref="BJ197:BJ203" si="206">$BJ$3</f>
        <v>278.21741231699929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4.4337866711430253E-14</v>
      </c>
      <c r="CA197" s="13">
        <f t="shared" si="170"/>
        <v>7.3222115536967035E-13</v>
      </c>
      <c r="CB197" s="20">
        <f t="shared" si="171"/>
        <v>1.3525069634579169E-12</v>
      </c>
      <c r="CC197" s="59">
        <f t="shared" si="195"/>
        <v>293.33333333333468</v>
      </c>
      <c r="CD197" s="59">
        <f ca="1">AVERAGE(OFFSET($CC$3,0,0,'Données projet'!$E$12+1,1))-AVERAGE(OFFSET($H$3,0,0,'Données projet'!$E$12+1,1))</f>
        <v>288.82868507674738</v>
      </c>
      <c r="CE197" s="59">
        <f t="shared" ref="CE197:CE203" si="207">$CE$3</f>
        <v>283.48738729114024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3.3232365596784635E-2</v>
      </c>
      <c r="CM197" s="21">
        <f>EXP(-LN(2)/2)*CM196+(1-EXP(-LN(2)/2))/(LN(2)/2)*CG197*CJ197*VLOOKUP('Données projet'!$B$12,Paramètres!$A$1:$I$89,3,0)*0.475*44/12</f>
        <v>6.7624236807494911E-25</v>
      </c>
      <c r="CN197" s="22">
        <f t="shared" si="172"/>
        <v>3.3232365596784635E-2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-5.6843418860808015E-14</v>
      </c>
      <c r="CU197" s="17">
        <f>CT197*VLOOKUP('Données projet'!$B$13,Paramètres!$A$1:$I$89,3,0)*VLOOKUP('Données projet'!$B$13,Paramètres!$A$1:$I$89,5,0)</f>
        <v>-4.8771653382573282E-14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273.73158910361786</v>
      </c>
      <c r="CZ197" s="59">
        <f t="shared" ref="CZ197:CZ203" si="208">$CZ$3</f>
        <v>256.77417912163997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-3.4106051316484809E-13</v>
      </c>
      <c r="DP197" s="17">
        <f>DO197*VLOOKUP('Données projet'!$B$14,Paramètres!$A$1:$I$89,3,0)*VLOOKUP('Données projet'!$B$14,Paramètres!$A$1:$I$89,5,0)</f>
        <v>-1.9065282685915009E-13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534.78683721545372</v>
      </c>
      <c r="DU197" s="59">
        <f t="shared" ref="DU197:DU203" si="209">$DU$3</f>
        <v>710.59298755711075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0.21235725412018291</v>
      </c>
      <c r="EB197" s="21">
        <f>EXP(-LN(2)/25)*EB196+(1-EXP(-LN(2)/25))/(LN(2)/25)*Calculateur!DW197*Calculateur!DY197*VLOOKUP('Données projet'!$B$14,Paramètres!$A$1:$I$89,3,0)*0.475*44/12</f>
        <v>0.25640956983994045</v>
      </c>
      <c r="EC197" s="21">
        <f>EXP(-LN(2)/2)*EC196+(1-EXP(-LN(2)/2))/(LN(2)/2)*DW197*DZ197*VLOOKUP('Données projet'!$B$14,Paramètres!$A$1:$I$89,3,0)*0.475*44/12</f>
        <v>2.4194346464149936E-24</v>
      </c>
      <c r="ED197" s="22">
        <f t="shared" si="178"/>
        <v>0.46876682396012337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5.6843418860808015E-14</v>
      </c>
      <c r="EK197" s="17">
        <f>EJ197*VLOOKUP('Données projet'!$B$15,Paramètres!$A$1:$I$89,3,0)*VLOOKUP('Données projet'!$B$15,Paramètres!$A$1:$I$89,5,0)</f>
        <v>4.9658410716801891E-14</v>
      </c>
      <c r="EL197" s="13">
        <f t="shared" si="179"/>
        <v>8.0934058173791862E-13</v>
      </c>
      <c r="EM197" s="20">
        <f t="shared" si="180"/>
        <v>1.4960899118586383E-12</v>
      </c>
      <c r="EN197" s="59">
        <f t="shared" si="198"/>
        <v>293.33333333333479</v>
      </c>
      <c r="EO197" s="59">
        <f ca="1">AVERAGE(OFFSET($EN$3,0,0,'Données projet'!$E$15+1,1))-AVERAGE(OFFSET($H$3,0,0,'Données projet'!$E$15+1,1))</f>
        <v>255.2813753128475</v>
      </c>
      <c r="EP197" s="59">
        <f t="shared" ref="EP197:EP203" si="210">$EP$3</f>
        <v>317.03005098025352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0.21917932595867889</v>
      </c>
      <c r="EW197" s="21">
        <f>EXP(-LN(2)/25)*EW196+(1-EXP(-LN(2)/25))/(LN(2)/25)*Calculateur!ER197*Calculateur!ET197*VLOOKUP('Données projet'!$B$15,Paramètres!$A$1:$I$89,3,0)*0.475*44/12</f>
        <v>0.18690867161014585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0.40608799756882474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1.7053025658242404E-13</v>
      </c>
      <c r="O198" s="13">
        <f>N198*VLOOKUP('Données projet'!$B$9,Paramètres!$A$1:$I$89,3,0)*VLOOKUP('Données projet'!$B$9,Paramètres!$A$1:$I$89,5,0)</f>
        <v>1.250327841262333E-13</v>
      </c>
      <c r="P198" s="13">
        <f t="shared" si="203"/>
        <v>1.8301318724634299E-12</v>
      </c>
      <c r="Q198" s="20">
        <f t="shared" si="162"/>
        <v>3.405245110226996E-12</v>
      </c>
      <c r="R198" s="59">
        <f t="shared" si="191"/>
        <v>293.33333333333672</v>
      </c>
      <c r="S198" s="59">
        <f ca="1">AVERAGE(OFFSET($R$3,0,0,'Données projet'!$E$9+1,1))-AVERAGE(OFFSET($H$3,0,0,'Données projet'!$E$9+1,1))</f>
        <v>193.60868637458515</v>
      </c>
      <c r="T198" s="59">
        <f t="shared" si="204"/>
        <v>272.97841038165217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-1.3567387213697657E-13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281.79835088425858</v>
      </c>
      <c r="AO198" s="59">
        <f t="shared" si="205"/>
        <v>345.4750813433123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343.6089004382095</v>
      </c>
      <c r="BJ198" s="59">
        <f t="shared" si="206"/>
        <v>278.21741231699929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4.4337866711430253E-14</v>
      </c>
      <c r="CA198" s="13">
        <f t="shared" si="170"/>
        <v>7.3222115536967035E-13</v>
      </c>
      <c r="CB198" s="20">
        <f t="shared" si="171"/>
        <v>1.3525069634579169E-12</v>
      </c>
      <c r="CC198" s="59">
        <f t="shared" si="195"/>
        <v>293.33333333333468</v>
      </c>
      <c r="CD198" s="59">
        <f ca="1">AVERAGE(OFFSET($CC$3,0,0,'Données projet'!$E$12+1,1))-AVERAGE(OFFSET($H$3,0,0,'Données projet'!$E$12+1,1))</f>
        <v>288.82868507674738</v>
      </c>
      <c r="CE198" s="59">
        <f t="shared" si="207"/>
        <v>283.48738729114024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3.2323624811926403E-2</v>
      </c>
      <c r="CM198" s="21">
        <f>EXP(-LN(2)/2)*CM197+(1-EXP(-LN(2)/2))/(LN(2)/2)*CG198*CJ198*VLOOKUP('Données projet'!$B$12,Paramètres!$A$1:$I$89,3,0)*0.475*44/12</f>
        <v>4.7817556419144577E-25</v>
      </c>
      <c r="CN198" s="22">
        <f t="shared" si="172"/>
        <v>3.2323624811926403E-2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-5.6843418860808015E-14</v>
      </c>
      <c r="CU198" s="17">
        <f>CT198*VLOOKUP('Données projet'!$B$13,Paramètres!$A$1:$I$89,3,0)*VLOOKUP('Données projet'!$B$13,Paramètres!$A$1:$I$89,5,0)</f>
        <v>-4.8771653382573282E-14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273.73158910361786</v>
      </c>
      <c r="CZ198" s="59">
        <f t="shared" si="208"/>
        <v>256.77417912163997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-3.4106051316484809E-13</v>
      </c>
      <c r="DP198" s="17">
        <f>DO198*VLOOKUP('Données projet'!$B$14,Paramètres!$A$1:$I$89,3,0)*VLOOKUP('Données projet'!$B$14,Paramètres!$A$1:$I$89,5,0)</f>
        <v>-1.9065282685915009E-13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534.78683721545372</v>
      </c>
      <c r="DU198" s="59">
        <f t="shared" si="209"/>
        <v>710.59298755711075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0.20819305789202158</v>
      </c>
      <c r="EB198" s="21">
        <f>EXP(-LN(2)/25)*EB197+(1-EXP(-LN(2)/25))/(LN(2)/25)*Calculateur!DW198*Calculateur!DY198*VLOOKUP('Données projet'!$B$14,Paramètres!$A$1:$I$89,3,0)*0.475*44/12</f>
        <v>0.24939803666867405</v>
      </c>
      <c r="EC198" s="21">
        <f>EXP(-LN(2)/2)*EC197+(1-EXP(-LN(2)/2))/(LN(2)/2)*DW198*DZ198*VLOOKUP('Données projet'!$B$14,Paramètres!$A$1:$I$89,3,0)*0.475*44/12</f>
        <v>1.7107986451177189E-24</v>
      </c>
      <c r="ED198" s="22">
        <f t="shared" si="178"/>
        <v>0.45759109456069563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5.6843418860808015E-14</v>
      </c>
      <c r="EK198" s="17">
        <f>EJ198*VLOOKUP('Données projet'!$B$15,Paramètres!$A$1:$I$89,3,0)*VLOOKUP('Données projet'!$B$15,Paramètres!$A$1:$I$89,5,0)</f>
        <v>4.9658410716801891E-14</v>
      </c>
      <c r="EL198" s="13">
        <f t="shared" si="179"/>
        <v>8.0934058173791862E-13</v>
      </c>
      <c r="EM198" s="20">
        <f t="shared" si="180"/>
        <v>1.4960899118586383E-12</v>
      </c>
      <c r="EN198" s="59">
        <f t="shared" si="198"/>
        <v>293.33333333333479</v>
      </c>
      <c r="EO198" s="59">
        <f ca="1">AVERAGE(OFFSET($EN$3,0,0,'Données projet'!$E$15+1,1))-AVERAGE(OFFSET($H$3,0,0,'Données projet'!$E$15+1,1))</f>
        <v>255.2813753128475</v>
      </c>
      <c r="EP198" s="59">
        <f t="shared" si="210"/>
        <v>317.03005098025352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0.21488135306281761</v>
      </c>
      <c r="EW198" s="21">
        <f>EXP(-LN(2)/25)*EW197+(1-EXP(-LN(2)/25))/(LN(2)/25)*Calculateur!ER198*Calculateur!ET198*VLOOKUP('Données projet'!$B$15,Paramètres!$A$1:$I$89,3,0)*0.475*44/12</f>
        <v>0.18179764415586655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0.39667899721868416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1.7053025658242404E-13</v>
      </c>
      <c r="O199" s="13">
        <f>N199*VLOOKUP('Données projet'!$B$9,Paramètres!$A$1:$I$89,3,0)*VLOOKUP('Données projet'!$B$9,Paramètres!$A$1:$I$89,5,0)</f>
        <v>1.250327841262333E-13</v>
      </c>
      <c r="P199" s="13">
        <f t="shared" si="203"/>
        <v>1.8301318724634299E-12</v>
      </c>
      <c r="Q199" s="20">
        <f t="shared" si="162"/>
        <v>3.405245110226996E-12</v>
      </c>
      <c r="R199" s="59">
        <f t="shared" si="191"/>
        <v>293.33333333333672</v>
      </c>
      <c r="S199" s="59">
        <f ca="1">AVERAGE(OFFSET($R$3,0,0,'Données projet'!$E$9+1,1))-AVERAGE(OFFSET($H$3,0,0,'Données projet'!$E$9+1,1))</f>
        <v>193.60868637458515</v>
      </c>
      <c r="T199" s="59">
        <f t="shared" si="204"/>
        <v>272.97841038165217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-1.3567387213697657E-13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281.79835088425858</v>
      </c>
      <c r="AO199" s="59">
        <f t="shared" si="205"/>
        <v>345.4750813433123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343.6089004382095</v>
      </c>
      <c r="BJ199" s="59">
        <f t="shared" si="206"/>
        <v>278.21741231699929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4.4337866711430253E-14</v>
      </c>
      <c r="CA199" s="13">
        <f t="shared" si="170"/>
        <v>7.3222115536967035E-13</v>
      </c>
      <c r="CB199" s="20">
        <f t="shared" si="171"/>
        <v>1.3525069634579169E-12</v>
      </c>
      <c r="CC199" s="59">
        <f t="shared" si="195"/>
        <v>293.33333333333468</v>
      </c>
      <c r="CD199" s="59">
        <f ca="1">AVERAGE(OFFSET($CC$3,0,0,'Données projet'!$E$12+1,1))-AVERAGE(OFFSET($H$3,0,0,'Données projet'!$E$12+1,1))</f>
        <v>288.82868507674738</v>
      </c>
      <c r="CE199" s="59">
        <f t="shared" si="207"/>
        <v>283.48738729114024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3.1439733591618724E-2</v>
      </c>
      <c r="CM199" s="21">
        <f>EXP(-LN(2)/2)*CM198+(1-EXP(-LN(2)/2))/(LN(2)/2)*CG199*CJ199*VLOOKUP('Données projet'!$B$12,Paramètres!$A$1:$I$89,3,0)*0.475*44/12</f>
        <v>3.3812118403747456E-25</v>
      </c>
      <c r="CN199" s="22">
        <f t="shared" si="172"/>
        <v>3.1439733591618724E-2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-5.6843418860808015E-14</v>
      </c>
      <c r="CU199" s="17">
        <f>CT199*VLOOKUP('Données projet'!$B$13,Paramètres!$A$1:$I$89,3,0)*VLOOKUP('Données projet'!$B$13,Paramètres!$A$1:$I$89,5,0)</f>
        <v>-4.8771653382573282E-14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273.73158910361786</v>
      </c>
      <c r="CZ199" s="59">
        <f t="shared" si="208"/>
        <v>256.77417912163997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-3.4106051316484809E-13</v>
      </c>
      <c r="DP199" s="17">
        <f>DO199*VLOOKUP('Données projet'!$B$14,Paramètres!$A$1:$I$89,3,0)*VLOOKUP('Données projet'!$B$14,Paramètres!$A$1:$I$89,5,0)</f>
        <v>-1.9065282685915009E-13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534.78683721545372</v>
      </c>
      <c r="DU199" s="59">
        <f t="shared" si="209"/>
        <v>710.59298755711075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0.2041105190119856</v>
      </c>
      <c r="EB199" s="21">
        <f>EXP(-LN(2)/25)*EB198+(1-EXP(-LN(2)/25))/(LN(2)/25)*Calculateur!DW199*Calculateur!DY199*VLOOKUP('Données projet'!$B$14,Paramètres!$A$1:$I$89,3,0)*0.475*44/12</f>
        <v>0.24257823424069641</v>
      </c>
      <c r="EC199" s="21">
        <f>EXP(-LN(2)/2)*EC198+(1-EXP(-LN(2)/2))/(LN(2)/2)*DW199*DZ199*VLOOKUP('Données projet'!$B$14,Paramètres!$A$1:$I$89,3,0)*0.475*44/12</f>
        <v>1.2097173232074968E-24</v>
      </c>
      <c r="ED199" s="22">
        <f t="shared" si="178"/>
        <v>0.44668875325268198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5.6843418860808015E-14</v>
      </c>
      <c r="EK199" s="17">
        <f>EJ199*VLOOKUP('Données projet'!$B$15,Paramètres!$A$1:$I$89,3,0)*VLOOKUP('Données projet'!$B$15,Paramètres!$A$1:$I$89,5,0)</f>
        <v>4.9658410716801891E-14</v>
      </c>
      <c r="EL199" s="13">
        <f t="shared" si="179"/>
        <v>8.0934058173791862E-13</v>
      </c>
      <c r="EM199" s="20">
        <f t="shared" si="180"/>
        <v>1.4960899118586383E-12</v>
      </c>
      <c r="EN199" s="59">
        <f t="shared" si="198"/>
        <v>293.33333333333479</v>
      </c>
      <c r="EO199" s="59">
        <f ca="1">AVERAGE(OFFSET($EN$3,0,0,'Données projet'!$E$15+1,1))-AVERAGE(OFFSET($H$3,0,0,'Données projet'!$E$15+1,1))</f>
        <v>255.2813753128475</v>
      </c>
      <c r="EP199" s="59">
        <f t="shared" si="210"/>
        <v>317.03005098025352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0.21066766079393956</v>
      </c>
      <c r="EW199" s="21">
        <f>EXP(-LN(2)/25)*EW198+(1-EXP(-LN(2)/25))/(LN(2)/25)*Calculateur!ER199*Calculateur!ET199*VLOOKUP('Données projet'!$B$15,Paramètres!$A$1:$I$89,3,0)*0.475*44/12</f>
        <v>0.17682637801610177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0.3874940388100413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1.7053025658242404E-13</v>
      </c>
      <c r="O200" s="13">
        <f>N200*VLOOKUP('Données projet'!$B$9,Paramètres!$A$1:$I$89,3,0)*VLOOKUP('Données projet'!$B$9,Paramètres!$A$1:$I$89,5,0)</f>
        <v>1.250327841262333E-13</v>
      </c>
      <c r="P200" s="13">
        <f t="shared" si="203"/>
        <v>1.8301318724634299E-12</v>
      </c>
      <c r="Q200" s="20">
        <f t="shared" si="162"/>
        <v>3.405245110226996E-12</v>
      </c>
      <c r="R200" s="59">
        <f t="shared" si="191"/>
        <v>293.33333333333672</v>
      </c>
      <c r="S200" s="59">
        <f ca="1">AVERAGE(OFFSET($R$3,0,0,'Données projet'!$E$9+1,1))-AVERAGE(OFFSET($H$3,0,0,'Données projet'!$E$9+1,1))</f>
        <v>193.60868637458515</v>
      </c>
      <c r="T200" s="59">
        <f t="shared" si="204"/>
        <v>272.97841038165217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-1.3567387213697657E-13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281.79835088425858</v>
      </c>
      <c r="AO200" s="59">
        <f t="shared" si="205"/>
        <v>345.4750813433123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343.6089004382095</v>
      </c>
      <c r="BJ200" s="59">
        <f t="shared" si="206"/>
        <v>278.21741231699929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4.4337866711430253E-14</v>
      </c>
      <c r="CA200" s="13">
        <f t="shared" si="170"/>
        <v>7.3222115536967035E-13</v>
      </c>
      <c r="CB200" s="20">
        <f t="shared" si="171"/>
        <v>1.3525069634579169E-12</v>
      </c>
      <c r="CC200" s="59">
        <f t="shared" si="195"/>
        <v>293.33333333333468</v>
      </c>
      <c r="CD200" s="59">
        <f ca="1">AVERAGE(OFFSET($CC$3,0,0,'Données projet'!$E$12+1,1))-AVERAGE(OFFSET($H$3,0,0,'Données projet'!$E$12+1,1))</f>
        <v>288.82868507674738</v>
      </c>
      <c r="CE200" s="59">
        <f t="shared" si="207"/>
        <v>283.48738729114024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3.0580012423212177E-2</v>
      </c>
      <c r="CM200" s="21">
        <f>EXP(-LN(2)/2)*CM199+(1-EXP(-LN(2)/2))/(LN(2)/2)*CG200*CJ200*VLOOKUP('Données projet'!$B$12,Paramètres!$A$1:$I$89,3,0)*0.475*44/12</f>
        <v>2.3908778209572288E-25</v>
      </c>
      <c r="CN200" s="22">
        <f t="shared" si="172"/>
        <v>3.0580012423212177E-2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-5.6843418860808015E-14</v>
      </c>
      <c r="CU200" s="17">
        <f>CT200*VLOOKUP('Données projet'!$B$13,Paramètres!$A$1:$I$89,3,0)*VLOOKUP('Données projet'!$B$13,Paramètres!$A$1:$I$89,5,0)</f>
        <v>-4.8771653382573282E-14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273.73158910361786</v>
      </c>
      <c r="CZ200" s="59">
        <f t="shared" si="208"/>
        <v>256.77417912163997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-3.4106051316484809E-13</v>
      </c>
      <c r="DP200" s="17">
        <f>DO200*VLOOKUP('Données projet'!$B$14,Paramètres!$A$1:$I$89,3,0)*VLOOKUP('Données projet'!$B$14,Paramètres!$A$1:$I$89,5,0)</f>
        <v>-1.9065282685915009E-13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534.78683721545372</v>
      </c>
      <c r="DU200" s="59">
        <f t="shared" si="209"/>
        <v>710.59298755711075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0.20010803622928428</v>
      </c>
      <c r="EB200" s="21">
        <f>EXP(-LN(2)/25)*EB199+(1-EXP(-LN(2)/25))/(LN(2)/25)*Calculateur!DW200*Calculateur!DY200*VLOOKUP('Données projet'!$B$14,Paramètres!$A$1:$I$89,3,0)*0.475*44/12</f>
        <v>0.23594491966874964</v>
      </c>
      <c r="EC200" s="21">
        <f>EXP(-LN(2)/2)*EC199+(1-EXP(-LN(2)/2))/(LN(2)/2)*DW200*DZ200*VLOOKUP('Données projet'!$B$14,Paramètres!$A$1:$I$89,3,0)*0.475*44/12</f>
        <v>8.5539932255885943E-25</v>
      </c>
      <c r="ED200" s="22">
        <f t="shared" si="178"/>
        <v>0.43605295589803394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5.6843418860808015E-14</v>
      </c>
      <c r="EK200" s="17">
        <f>EJ200*VLOOKUP('Données projet'!$B$15,Paramètres!$A$1:$I$89,3,0)*VLOOKUP('Données projet'!$B$15,Paramètres!$A$1:$I$89,5,0)</f>
        <v>4.9658410716801891E-14</v>
      </c>
      <c r="EL200" s="13">
        <f t="shared" si="179"/>
        <v>8.0934058173791862E-13</v>
      </c>
      <c r="EM200" s="20">
        <f t="shared" si="180"/>
        <v>1.4960899118586383E-12</v>
      </c>
      <c r="EN200" s="59">
        <f t="shared" si="198"/>
        <v>293.33333333333479</v>
      </c>
      <c r="EO200" s="59">
        <f ca="1">AVERAGE(OFFSET($EN$3,0,0,'Données projet'!$E$15+1,1))-AVERAGE(OFFSET($H$3,0,0,'Données projet'!$E$15+1,1))</f>
        <v>255.2813753128475</v>
      </c>
      <c r="EP200" s="59">
        <f t="shared" si="210"/>
        <v>317.03005098025352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0.20653659646035571</v>
      </c>
      <c r="EW200" s="21">
        <f>EXP(-LN(2)/25)*EW199+(1-EXP(-LN(2)/25))/(LN(2)/25)*Calculateur!ER200*Calculateur!ET200*VLOOKUP('Données projet'!$B$15,Paramètres!$A$1:$I$89,3,0)*0.475*44/12</f>
        <v>0.17199105141035639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0.37852764787071214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1.7053025658242404E-13</v>
      </c>
      <c r="O201" s="13">
        <f>N201*VLOOKUP('Données projet'!$B$9,Paramètres!$A$1:$I$89,3,0)*VLOOKUP('Données projet'!$B$9,Paramètres!$A$1:$I$89,5,0)</f>
        <v>1.250327841262333E-13</v>
      </c>
      <c r="P201" s="13">
        <f t="shared" si="203"/>
        <v>1.8301318724634299E-12</v>
      </c>
      <c r="Q201" s="20">
        <f t="shared" si="162"/>
        <v>3.405245110226996E-12</v>
      </c>
      <c r="R201" s="59">
        <f t="shared" si="191"/>
        <v>293.33333333333672</v>
      </c>
      <c r="S201" s="59">
        <f ca="1">AVERAGE(OFFSET($R$3,0,0,'Données projet'!$E$9+1,1))-AVERAGE(OFFSET($H$3,0,0,'Données projet'!$E$9+1,1))</f>
        <v>193.60868637458515</v>
      </c>
      <c r="T201" s="59">
        <f t="shared" si="204"/>
        <v>272.97841038165217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-1.3567387213697657E-13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281.79835088425858</v>
      </c>
      <c r="AO201" s="59">
        <f t="shared" si="205"/>
        <v>345.4750813433123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343.6089004382095</v>
      </c>
      <c r="BJ201" s="59">
        <f t="shared" si="206"/>
        <v>278.21741231699929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4.4337866711430253E-14</v>
      </c>
      <c r="CA201" s="13">
        <f t="shared" si="170"/>
        <v>7.3222115536967035E-13</v>
      </c>
      <c r="CB201" s="20">
        <f t="shared" si="171"/>
        <v>1.3525069634579169E-12</v>
      </c>
      <c r="CC201" s="59">
        <f t="shared" si="195"/>
        <v>293.33333333333468</v>
      </c>
      <c r="CD201" s="59">
        <f ca="1">AVERAGE(OFFSET($CC$3,0,0,'Données projet'!$E$12+1,1))-AVERAGE(OFFSET($H$3,0,0,'Données projet'!$E$12+1,1))</f>
        <v>288.82868507674738</v>
      </c>
      <c r="CE201" s="59">
        <f t="shared" si="207"/>
        <v>283.48738729114024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2.9743800375366478E-2</v>
      </c>
      <c r="CM201" s="21">
        <f>EXP(-LN(2)/2)*CM200+(1-EXP(-LN(2)/2))/(LN(2)/2)*CG201*CJ201*VLOOKUP('Données projet'!$B$12,Paramètres!$A$1:$I$89,3,0)*0.475*44/12</f>
        <v>1.6906059201873728E-25</v>
      </c>
      <c r="CN201" s="22">
        <f t="shared" si="172"/>
        <v>2.9743800375366478E-2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-5.6843418860808015E-14</v>
      </c>
      <c r="CU201" s="17">
        <f>CT201*VLOOKUP('Données projet'!$B$13,Paramètres!$A$1:$I$89,3,0)*VLOOKUP('Données projet'!$B$13,Paramètres!$A$1:$I$89,5,0)</f>
        <v>-4.8771653382573282E-14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273.73158910361786</v>
      </c>
      <c r="CZ201" s="59">
        <f t="shared" si="208"/>
        <v>256.77417912163997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-3.4106051316484809E-13</v>
      </c>
      <c r="DP201" s="17">
        <f>DO201*VLOOKUP('Données projet'!$B$14,Paramètres!$A$1:$I$89,3,0)*VLOOKUP('Données projet'!$B$14,Paramètres!$A$1:$I$89,5,0)</f>
        <v>-1.9065282685915009E-13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534.78683721545372</v>
      </c>
      <c r="DU201" s="59">
        <f t="shared" si="209"/>
        <v>710.59298755711075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0.19618403969267828</v>
      </c>
      <c r="EB201" s="21">
        <f>EXP(-LN(2)/25)*EB200+(1-EXP(-LN(2)/25))/(LN(2)/25)*Calculateur!DW201*Calculateur!DY201*VLOOKUP('Données projet'!$B$14,Paramètres!$A$1:$I$89,3,0)*0.475*44/12</f>
        <v>0.22949299343260363</v>
      </c>
      <c r="EC201" s="21">
        <f>EXP(-LN(2)/2)*EC200+(1-EXP(-LN(2)/2))/(LN(2)/2)*DW201*DZ201*VLOOKUP('Données projet'!$B$14,Paramètres!$A$1:$I$89,3,0)*0.475*44/12</f>
        <v>6.0485866160374841E-25</v>
      </c>
      <c r="ED201" s="22">
        <f t="shared" si="178"/>
        <v>0.42567703312528193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5.6843418860808015E-14</v>
      </c>
      <c r="EK201" s="17">
        <f>EJ201*VLOOKUP('Données projet'!$B$15,Paramètres!$A$1:$I$89,3,0)*VLOOKUP('Données projet'!$B$15,Paramètres!$A$1:$I$89,5,0)</f>
        <v>4.9658410716801891E-14</v>
      </c>
      <c r="EL201" s="13">
        <f t="shared" si="179"/>
        <v>8.0934058173791862E-13</v>
      </c>
      <c r="EM201" s="20">
        <f t="shared" si="180"/>
        <v>1.4960899118586383E-12</v>
      </c>
      <c r="EN201" s="59">
        <f t="shared" si="198"/>
        <v>293.33333333333479</v>
      </c>
      <c r="EO201" s="59">
        <f ca="1">AVERAGE(OFFSET($EN$3,0,0,'Données projet'!$E$15+1,1))-AVERAGE(OFFSET($H$3,0,0,'Données projet'!$E$15+1,1))</f>
        <v>255.2813753128475</v>
      </c>
      <c r="EP201" s="59">
        <f t="shared" si="210"/>
        <v>317.03005098025352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0.202486539778653</v>
      </c>
      <c r="EW201" s="21">
        <f>EXP(-LN(2)/25)*EW200+(1-EXP(-LN(2)/25))/(LN(2)/25)*Calculateur!ER201*Calculateur!ET201*VLOOKUP('Données projet'!$B$15,Paramètres!$A$1:$I$89,3,0)*0.475*44/12</f>
        <v>0.16728794706492389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0.36977448684357689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1.7053025658242404E-13</v>
      </c>
      <c r="O202" s="13">
        <f>N202*VLOOKUP('Données projet'!$B$9,Paramètres!$A$1:$I$89,3,0)*VLOOKUP('Données projet'!$B$9,Paramètres!$A$1:$I$89,5,0)</f>
        <v>1.250327841262333E-13</v>
      </c>
      <c r="P202" s="13">
        <f t="shared" si="203"/>
        <v>1.8301318724634299E-12</v>
      </c>
      <c r="Q202" s="20">
        <f t="shared" si="162"/>
        <v>3.405245110226996E-12</v>
      </c>
      <c r="R202" s="59">
        <f t="shared" si="191"/>
        <v>293.33333333333672</v>
      </c>
      <c r="S202" s="59">
        <f ca="1">AVERAGE(OFFSET($R$3,0,0,'Données projet'!$E$9+1,1))-AVERAGE(OFFSET($H$3,0,0,'Données projet'!$E$9+1,1))</f>
        <v>193.60868637458515</v>
      </c>
      <c r="T202" s="59">
        <f t="shared" si="204"/>
        <v>272.97841038165217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-1.3567387213697657E-13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281.79835088425858</v>
      </c>
      <c r="AO202" s="59">
        <f t="shared" si="205"/>
        <v>345.4750813433123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343.6089004382095</v>
      </c>
      <c r="BJ202" s="59">
        <f t="shared" si="206"/>
        <v>278.21741231699929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4.4337866711430253E-14</v>
      </c>
      <c r="CA202" s="13">
        <f t="shared" si="170"/>
        <v>7.3222115536967035E-13</v>
      </c>
      <c r="CB202" s="20">
        <f t="shared" si="171"/>
        <v>1.3525069634579169E-12</v>
      </c>
      <c r="CC202" s="59">
        <f t="shared" si="195"/>
        <v>293.33333333333468</v>
      </c>
      <c r="CD202" s="59">
        <f ca="1">AVERAGE(OFFSET($CC$3,0,0,'Données projet'!$E$12+1,1))-AVERAGE(OFFSET($H$3,0,0,'Données projet'!$E$12+1,1))</f>
        <v>288.82868507674738</v>
      </c>
      <c r="CE202" s="59">
        <f t="shared" si="207"/>
        <v>283.48738729114024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2.8930454589943602E-2</v>
      </c>
      <c r="CM202" s="21">
        <f>EXP(-LN(2)/2)*CM201+(1-EXP(-LN(2)/2))/(LN(2)/2)*CG202*CJ202*VLOOKUP('Données projet'!$B$12,Paramètres!$A$1:$I$89,3,0)*0.475*44/12</f>
        <v>1.1954389104786144E-25</v>
      </c>
      <c r="CN202" s="22">
        <f t="shared" si="172"/>
        <v>2.8930454589943602E-2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-5.6843418860808015E-14</v>
      </c>
      <c r="CU202" s="17">
        <f>CT202*VLOOKUP('Données projet'!$B$13,Paramètres!$A$1:$I$89,3,0)*VLOOKUP('Données projet'!$B$13,Paramètres!$A$1:$I$89,5,0)</f>
        <v>-4.8771653382573282E-14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273.73158910361786</v>
      </c>
      <c r="CZ202" s="59">
        <f t="shared" si="208"/>
        <v>256.77417912163997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-3.4106051316484809E-13</v>
      </c>
      <c r="DP202" s="17">
        <f>DO202*VLOOKUP('Données projet'!$B$14,Paramètres!$A$1:$I$89,3,0)*VLOOKUP('Données projet'!$B$14,Paramètres!$A$1:$I$89,5,0)</f>
        <v>-1.9065282685915009E-13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534.78683721545372</v>
      </c>
      <c r="DU202" s="59">
        <f t="shared" si="209"/>
        <v>710.59298755711075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0.19233699033475357</v>
      </c>
      <c r="EB202" s="21">
        <f>EXP(-LN(2)/25)*EB201+(1-EXP(-LN(2)/25))/(LN(2)/25)*Calculateur!DW202*Calculateur!DY202*VLOOKUP('Données projet'!$B$14,Paramètres!$A$1:$I$89,3,0)*0.475*44/12</f>
        <v>0.22321749545867706</v>
      </c>
      <c r="EC202" s="21">
        <f>EXP(-LN(2)/2)*EC201+(1-EXP(-LN(2)/2))/(LN(2)/2)*DW202*DZ202*VLOOKUP('Données projet'!$B$14,Paramètres!$A$1:$I$89,3,0)*0.475*44/12</f>
        <v>4.2769966127942972E-25</v>
      </c>
      <c r="ED202" s="22">
        <f t="shared" si="178"/>
        <v>0.41555448579343063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5.6843418860808015E-14</v>
      </c>
      <c r="EK202" s="17">
        <f>EJ202*VLOOKUP('Données projet'!$B$15,Paramètres!$A$1:$I$89,3,0)*VLOOKUP('Données projet'!$B$15,Paramètres!$A$1:$I$89,5,0)</f>
        <v>4.9658410716801891E-14</v>
      </c>
      <c r="EL202" s="13">
        <f t="shared" si="179"/>
        <v>8.0934058173791862E-13</v>
      </c>
      <c r="EM202" s="20">
        <f t="shared" si="180"/>
        <v>1.4960899118586383E-12</v>
      </c>
      <c r="EN202" s="59">
        <f t="shared" si="198"/>
        <v>293.33333333333479</v>
      </c>
      <c r="EO202" s="59">
        <f ca="1">AVERAGE(OFFSET($EN$3,0,0,'Données projet'!$E$15+1,1))-AVERAGE(OFFSET($H$3,0,0,'Données projet'!$E$15+1,1))</f>
        <v>255.2813753128475</v>
      </c>
      <c r="EP202" s="59">
        <f t="shared" si="210"/>
        <v>317.03005098025352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0.1985159022381878</v>
      </c>
      <c r="EW202" s="21">
        <f>EXP(-LN(2)/25)*EW201+(1-EXP(-LN(2)/25))/(LN(2)/25)*Calculateur!ER202*Calculateur!ET202*VLOOKUP('Données projet'!$B$15,Paramètres!$A$1:$I$89,3,0)*0.475*44/12</f>
        <v>0.16271344935514276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0.36122935159333058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1.7053025658242404E-13</v>
      </c>
      <c r="O203" s="13">
        <f>N203*VLOOKUP('Données projet'!$B$9,Paramètres!$A$1:$I$89,3,0)*VLOOKUP('Données projet'!$B$9,Paramètres!$A$1:$I$89,5,0)</f>
        <v>1.250327841262333E-13</v>
      </c>
      <c r="P203" s="13">
        <f t="shared" si="203"/>
        <v>1.8301318724634299E-12</v>
      </c>
      <c r="Q203" s="20">
        <f t="shared" si="162"/>
        <v>3.405245110226996E-12</v>
      </c>
      <c r="R203" s="59">
        <f t="shared" si="191"/>
        <v>293.33333333333672</v>
      </c>
      <c r="S203" s="59">
        <f ca="1">AVERAGE(OFFSET($R$3,0,0,'Données projet'!$E$9+1,1))-AVERAGE(OFFSET($H$3,0,0,'Données projet'!$E$9+1,1))</f>
        <v>193.60868637458515</v>
      </c>
      <c r="T203" s="59">
        <f t="shared" si="204"/>
        <v>272.97841038165217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-1.3567387213697657E-13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281.79835088425858</v>
      </c>
      <c r="AO203" s="59">
        <f t="shared" si="205"/>
        <v>345.4750813433123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343.6089004382095</v>
      </c>
      <c r="BJ203" s="59">
        <f t="shared" si="206"/>
        <v>278.21741231699929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4.4337866711430253E-14</v>
      </c>
      <c r="CA203" s="13">
        <f t="shared" si="170"/>
        <v>7.3222115536967035E-13</v>
      </c>
      <c r="CB203" s="20">
        <f t="shared" si="171"/>
        <v>1.3525069634579169E-12</v>
      </c>
      <c r="CC203" s="59">
        <f t="shared" si="195"/>
        <v>293.33333333333468</v>
      </c>
      <c r="CD203" s="59">
        <f ca="1">AVERAGE(OFFSET($CC$3,0,0,'Données projet'!$E$12+1,1))-AVERAGE(OFFSET($H$3,0,0,'Données projet'!$E$12+1,1))</f>
        <v>288.82868507674738</v>
      </c>
      <c r="CE203" s="59">
        <f t="shared" si="207"/>
        <v>283.48738729114024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2.8139349787795108E-2</v>
      </c>
      <c r="CM203" s="21">
        <f>EXP(-LN(2)/2)*CM202+(1-EXP(-LN(2)/2))/(LN(2)/2)*CG203*CJ203*VLOOKUP('Données projet'!$B$12,Paramètres!$A$1:$I$89,3,0)*0.475*44/12</f>
        <v>8.4530296009368639E-26</v>
      </c>
      <c r="CN203" s="22">
        <f t="shared" si="172"/>
        <v>2.8139349787795108E-2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-5.6843418860808015E-14</v>
      </c>
      <c r="CU203" s="17">
        <f>CT203*VLOOKUP('Données projet'!$B$13,Paramètres!$A$1:$I$89,3,0)*VLOOKUP('Données projet'!$B$13,Paramètres!$A$1:$I$89,5,0)</f>
        <v>-4.8771653382573282E-14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273.73158910361786</v>
      </c>
      <c r="CZ203" s="59">
        <f t="shared" si="208"/>
        <v>256.77417912163997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-3.4106051316484809E-13</v>
      </c>
      <c r="DP203" s="17">
        <f>DO203*VLOOKUP('Données projet'!$B$14,Paramètres!$A$1:$I$89,3,0)*VLOOKUP('Données projet'!$B$14,Paramètres!$A$1:$I$89,5,0)</f>
        <v>-1.9065282685915009E-13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534.78683721545372</v>
      </c>
      <c r="DU203" s="59">
        <f t="shared" si="209"/>
        <v>710.59298755711075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0.18856537926826936</v>
      </c>
      <c r="EB203" s="21">
        <f>EXP(-LN(2)/25)*EB202+(1-EXP(-LN(2)/25))/(LN(2)/25)*Calculateur!DW203*Calculateur!DY203*VLOOKUP('Données projet'!$B$14,Paramètres!$A$1:$I$89,3,0)*0.475*44/12</f>
        <v>0.21711360130686161</v>
      </c>
      <c r="EC203" s="21">
        <f>EXP(-LN(2)/2)*EC202+(1-EXP(-LN(2)/2))/(LN(2)/2)*DW203*DZ203*VLOOKUP('Données projet'!$B$14,Paramètres!$A$1:$I$89,3,0)*0.475*44/12</f>
        <v>3.024293308018742E-25</v>
      </c>
      <c r="ED203" s="22">
        <f t="shared" si="178"/>
        <v>0.40567898057513097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5.6843418860808015E-14</v>
      </c>
      <c r="EK203" s="17">
        <f>EJ203*VLOOKUP('Données projet'!$B$15,Paramètres!$A$1:$I$89,3,0)*VLOOKUP('Données projet'!$B$15,Paramètres!$A$1:$I$89,5,0)</f>
        <v>4.9658410716801891E-14</v>
      </c>
      <c r="EL203" s="13">
        <f t="shared" si="179"/>
        <v>8.0934058173791862E-13</v>
      </c>
      <c r="EM203" s="20">
        <f t="shared" si="180"/>
        <v>1.4960899118586383E-12</v>
      </c>
      <c r="EN203" s="59">
        <f t="shared" si="198"/>
        <v>293.33333333333479</v>
      </c>
      <c r="EO203" s="59">
        <f ca="1">AVERAGE(OFFSET($EN$3,0,0,'Données projet'!$E$15+1,1))-AVERAGE(OFFSET($H$3,0,0,'Données projet'!$E$15+1,1))</f>
        <v>255.2813753128475</v>
      </c>
      <c r="EP203" s="59">
        <f t="shared" si="210"/>
        <v>317.03005098025352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0.19462312647804136</v>
      </c>
      <c r="EW203" s="21">
        <f>EXP(-LN(2)/25)*EW202+(1-EXP(-LN(2)/25))/(LN(2)/25)*Calculateur!ER203*Calculateur!ET203*VLOOKUP('Données projet'!$B$15,Paramètres!$A$1:$I$89,3,0)*0.475*44/12</f>
        <v>0.15826404152579795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0.35288716800383935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1.2229519710813024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1.2392705892426346</v>
      </c>
      <c r="BV205" s="82">
        <f>EXP(LN('Données projet'!B114)/'Données projet'!A114)</f>
        <v>1.2788040393997409</v>
      </c>
      <c r="CQ205" s="82">
        <f>EXP(LN('Données projet'!B140)/'Données projet'!A140)</f>
        <v>1.189207115002721</v>
      </c>
      <c r="DL205" s="82">
        <f>EXP(LN('Données projet'!B166)/'Données projet'!A166)</f>
        <v>1.418286993802653</v>
      </c>
      <c r="EG205" s="82">
        <f>EXP(LN('Données projet'!B192)/'Données projet'!A192)</f>
        <v>1.2229519710813024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M3" sqref="M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Châtaignier</v>
      </c>
      <c r="B6" s="146">
        <f>'Données projet'!D9</f>
        <v>0.93719999999999992</v>
      </c>
      <c r="C6" s="147">
        <f ca="1">IF(OR('Données projet'!B9="",'Données projet'!C9="",'Données projet'!C9=0%),0,Calculateur!S3)</f>
        <v>193.60868637458515</v>
      </c>
      <c r="D6" s="147">
        <f>IF(OR('Données projet'!B9="",'Données projet'!C9="",'Données projet'!C9=0%),0,Calculateur!T3)</f>
        <v>272.97841038165217</v>
      </c>
      <c r="E6" s="147">
        <f ca="1">MIN(C6,D6)</f>
        <v>193.60868637458515</v>
      </c>
      <c r="F6" s="147">
        <f ca="1">E6*B6</f>
        <v>181.45006087026118</v>
      </c>
      <c r="G6" s="147">
        <f ca="1">F6*(100%-'Données projet'!$C$24)*(100%-'Données projet'!$C$25)*(100%-'Données projet'!$C$26)*(100%-'Données projet'!$C$27)</f>
        <v>130.64404382658805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14.292299999999999</v>
      </c>
      <c r="K6" s="151">
        <f>J6*(100%-'Données projet'!$C$24)*(100%-'Données projet'!$C$25)*(100%-'Données projet'!$C$26)*(100%-'Données projet'!$C$27)</f>
        <v>10.290456000000001</v>
      </c>
      <c r="L6" s="152">
        <f ca="1">G6+I6+K6</f>
        <v>140.93449982658805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sycomore</v>
      </c>
      <c r="B7" s="154">
        <f>'Données projet'!D10</f>
        <v>0.93719999999999992</v>
      </c>
      <c r="C7" s="147">
        <f ca="1">IF(OR('Données projet'!B10="",'Données projet'!C10="",'Données projet'!C10=0%),0,Calculateur!AN3)</f>
        <v>281.79835088425858</v>
      </c>
      <c r="D7" s="147">
        <f>IF(OR('Données projet'!B10="",'Données projet'!C10="",'Données projet'!C10=0%),0,Calculateur!AO3)</f>
        <v>345.4750813433123</v>
      </c>
      <c r="E7" s="147">
        <f t="shared" ref="E7:E15" ca="1" si="0">MIN(C7,D7)</f>
        <v>281.79835088425858</v>
      </c>
      <c r="F7" s="147">
        <f t="shared" ref="F7:F15" ca="1" si="1">E7*B7</f>
        <v>264.1014144487271</v>
      </c>
      <c r="G7" s="147">
        <f ca="1">F7*(100%-'Données projet'!$C$24)*(100%-'Données projet'!$C$25)*(100%-'Données projet'!$C$26)*(100%-'Données projet'!$C$27)</f>
        <v>190.15301840308351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32.0991</v>
      </c>
      <c r="K7" s="151">
        <f>J7*(100%-'Données projet'!$C$24)*(100%-'Données projet'!$C$25)*(100%-'Données projet'!$C$26)*(100%-'Données projet'!$C$27)</f>
        <v>23.111352000000004</v>
      </c>
      <c r="L7" s="152">
        <f t="shared" ref="L7:L15" ca="1" si="2">G7+I7+K7</f>
        <v>213.26437040308352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0.85199999999999998</v>
      </c>
      <c r="C8" s="147">
        <f ca="1">IF(OR('Données projet'!B11="",'Données projet'!C11="",'Données projet'!C11=0%),0,Calculateur!BI3)</f>
        <v>343.6089004382095</v>
      </c>
      <c r="D8" s="147">
        <f>IF(OR('Données projet'!B11="",'Données projet'!C11="",'Données projet'!C11=0%),0,Calculateur!BJ3)</f>
        <v>278.21741231699929</v>
      </c>
      <c r="E8" s="147">
        <f t="shared" ca="1" si="0"/>
        <v>278.21741231699929</v>
      </c>
      <c r="F8" s="147">
        <f t="shared" ca="1" si="1"/>
        <v>237.04123529408338</v>
      </c>
      <c r="G8" s="147">
        <f ca="1">F8*(100%-'Données projet'!$C$24)*(100%-'Données projet'!$C$25)*(100%-'Données projet'!$C$26)*(100%-'Données projet'!$C$27)</f>
        <v>170.66968941174005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13.206</v>
      </c>
      <c r="K8" s="151">
        <f>J8*(100%-'Données projet'!$C$24)*(100%-'Données projet'!$C$25)*(100%-'Données projet'!$C$26)*(100%-'Données projet'!$C$27)</f>
        <v>9.5083199999999994</v>
      </c>
      <c r="L8" s="152">
        <f t="shared" ca="1" si="2"/>
        <v>180.17800941174005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Merisier</v>
      </c>
      <c r="B9" s="154">
        <f>'Données projet'!D12</f>
        <v>0.42599999999999999</v>
      </c>
      <c r="C9" s="147">
        <f ca="1">IF(OR('Données projet'!B12="",'Données projet'!C12="",'Données projet'!C12=0%),0,Calculateur!CD3)</f>
        <v>288.82868507674738</v>
      </c>
      <c r="D9" s="147">
        <f>IF(OR('Données projet'!B12="",'Données projet'!C12="",'Données projet'!C12=0%),0,Calculateur!CE3)</f>
        <v>283.48738729114024</v>
      </c>
      <c r="E9" s="147">
        <f t="shared" ca="1" si="0"/>
        <v>283.48738729114024</v>
      </c>
      <c r="F9" s="147">
        <f t="shared" ca="1" si="1"/>
        <v>120.76562698602574</v>
      </c>
      <c r="G9" s="147">
        <f ca="1">F9*(100%-'Données projet'!$C$24)*(100%-'Données projet'!$C$25)*(100%-'Données projet'!$C$26)*(100%-'Données projet'!$C$27)</f>
        <v>86.951251429938537</v>
      </c>
      <c r="H9" s="155">
        <f>IF(OR('Données projet'!B12="",'Données projet'!C12="",'Données projet'!C12=0%),0,AVERAGE(Calculateur!$CN$3:$CN$33)*B9)</f>
        <v>1.7254550045625205</v>
      </c>
      <c r="I9" s="149">
        <f>H9*(100%-'Données projet'!$C$24)*(100%-'Données projet'!$C$25)*(100%-'Données projet'!$C$26)*(100%-'Données projet'!$C$27)</f>
        <v>1.2423276032850148</v>
      </c>
      <c r="J9" s="150">
        <f>IF(OR('Données projet'!B12="",'Données projet'!C12="",'Données projet'!C12=0%),0,SUM(Calculateur!$CG$3:$CG$33)*VLOOKUP('Données projet'!$B$12,Paramètres!$A$1:$I$89,9,0)*B9)</f>
        <v>5.8574999999999999</v>
      </c>
      <c r="K9" s="151">
        <f>J9*(100%-'Données projet'!$C$24)*(100%-'Données projet'!$C$25)*(100%-'Données projet'!$C$26)*(100%-'Données projet'!$C$27)</f>
        <v>4.2174000000000005</v>
      </c>
      <c r="L9" s="152">
        <f t="shared" ca="1" si="2"/>
        <v>92.410979033223555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Hêtre</v>
      </c>
      <c r="B10" s="154">
        <f>'Données projet'!D13</f>
        <v>0.42599999999999999</v>
      </c>
      <c r="C10" s="147">
        <f ca="1">IF(OR('Données projet'!B13="",'Données projet'!C13="",'Données projet'!C13=0%),0,Calculateur!CY3)</f>
        <v>273.73158910361786</v>
      </c>
      <c r="D10" s="147">
        <f>IF(OR('Données projet'!B13="",'Données projet'!C13="",'Données projet'!C13=0%),0,Calculateur!CZ3)</f>
        <v>256.77417912163997</v>
      </c>
      <c r="E10" s="147">
        <f t="shared" ca="1" si="0"/>
        <v>256.77417912163997</v>
      </c>
      <c r="F10" s="147">
        <f t="shared" ca="1" si="1"/>
        <v>109.38580030581862</v>
      </c>
      <c r="G10" s="147">
        <f ca="1">F10*(100%-'Données projet'!$C$24)*(100%-'Données projet'!$C$25)*(100%-'Données projet'!$C$26)*(100%-'Données projet'!$C$27)</f>
        <v>78.757776220189413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3.7275</v>
      </c>
      <c r="K10" s="151">
        <f>J10*(100%-'Données projet'!$C$24)*(100%-'Données projet'!$C$25)*(100%-'Données projet'!$C$26)*(100%-'Données projet'!$C$27)</f>
        <v>2.6838000000000002</v>
      </c>
      <c r="L10" s="152">
        <f t="shared" ca="1" si="2"/>
        <v>81.441576220189418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Douglas</v>
      </c>
      <c r="B11" s="154">
        <f>'Données projet'!D14</f>
        <v>0.42599999999999999</v>
      </c>
      <c r="C11" s="147">
        <f ca="1">IF(OR('Données projet'!B14="",'Données projet'!C14="",'Données projet'!C14=0%),0,Calculateur!DT3)</f>
        <v>534.78683721545372</v>
      </c>
      <c r="D11" s="147">
        <f>IF(OR('Données projet'!B14="",'Données projet'!C14="",'Données projet'!C14=0%),0,Calculateur!DU3)</f>
        <v>710.59298755711075</v>
      </c>
      <c r="E11" s="147">
        <f t="shared" ca="1" si="0"/>
        <v>534.78683721545372</v>
      </c>
      <c r="F11" s="147">
        <f t="shared" ca="1" si="1"/>
        <v>227.81919265378329</v>
      </c>
      <c r="G11" s="147">
        <f ca="1">F11*(100%-'Données projet'!$C$24)*(100%-'Données projet'!$C$25)*(100%-'Données projet'!$C$26)*(100%-'Données projet'!$C$27)</f>
        <v>164.02981871072399</v>
      </c>
      <c r="H11" s="155">
        <f>IF(OR('Données projet'!B14="",'Données projet'!C14="",'Données projet'!C14=0%),0,AVERAGE(Calculateur!$ED$3:$ED$33)*B11)</f>
        <v>2.1366849035623456</v>
      </c>
      <c r="I11" s="149">
        <f>H11*(100%-'Données projet'!$C$24)*(100%-'Données projet'!$C$25)*(100%-'Données projet'!$C$26)*(100%-'Données projet'!$C$27)</f>
        <v>1.5384131305648892</v>
      </c>
      <c r="J11" s="150">
        <f>IF(OR('Données projet'!B14="",'Données projet'!C14="",'Données projet'!C14=0%),0,SUM(Calculateur!$DW$3:$DW$33)*VLOOKUP('Données projet'!$B$14,Paramètres!$A$1:$I$89,9,0)*B11)</f>
        <v>22.714320000000001</v>
      </c>
      <c r="K11" s="151">
        <f>J11*(100%-'Données projet'!$C$24)*(100%-'Données projet'!$C$25)*(100%-'Données projet'!$C$26)*(100%-'Données projet'!$C$27)</f>
        <v>16.354310400000003</v>
      </c>
      <c r="L11" s="152">
        <f t="shared" ca="1" si="2"/>
        <v>181.92254224128888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 rouge d'Amérique</v>
      </c>
      <c r="B12" s="154">
        <f>'Données projet'!D15</f>
        <v>0.25559999999999999</v>
      </c>
      <c r="C12" s="147">
        <f ca="1">IF(OR('Données projet'!B15="",'Données projet'!C15="",'Données projet'!C15=0%),0,Calculateur!EO3)</f>
        <v>255.2813753128475</v>
      </c>
      <c r="D12" s="147">
        <f>IF(OR('Données projet'!B15="",'Données projet'!C15="",'Données projet'!C15=0%),0,Calculateur!EP3)</f>
        <v>317.03005098025352</v>
      </c>
      <c r="E12" s="147">
        <f t="shared" ca="1" si="0"/>
        <v>255.2813753128475</v>
      </c>
      <c r="F12" s="147">
        <f t="shared" ca="1" si="1"/>
        <v>65.249919529963819</v>
      </c>
      <c r="G12" s="147">
        <f ca="1">F12*(100%-'Données projet'!$C$24)*(100%-'Données projet'!$C$25)*(100%-'Données projet'!$C$26)*(100%-'Données projet'!$C$27)</f>
        <v>46.979942061573951</v>
      </c>
      <c r="H12" s="155">
        <f>IF(OR('Données projet'!B15="",'Données projet'!C15="",'Données projet'!C15=0%),0,AVERAGE(Calculateur!$EY$3:$EY$33)*B12)</f>
        <v>0.32131398503290803</v>
      </c>
      <c r="I12" s="149">
        <f>H12*(100%-'Données projet'!$C$24)*(100%-'Données projet'!$C$25)*(100%-'Données projet'!$C$26)*(100%-'Données projet'!$C$27)</f>
        <v>0.2313460692236938</v>
      </c>
      <c r="J12" s="150">
        <f>IF(OR('Données projet'!B15="",'Données projet'!C15="",'Données projet'!C15=0%),0,SUM(Calculateur!$ER$3:$ER$33)*VLOOKUP('Données projet'!$B$15,Paramètres!$A$1:$I$89,9,0)*B12)</f>
        <v>3.8978999999999999</v>
      </c>
      <c r="K12" s="151">
        <f>J12*(100%-'Données projet'!$C$24)*(100%-'Données projet'!$C$25)*(100%-'Données projet'!$C$26)*(100%-'Données projet'!$C$27)</f>
        <v>2.8064880000000003</v>
      </c>
      <c r="L12" s="152">
        <f t="shared" ca="1" si="2"/>
        <v>50.01777613079765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1205.8132500886632</v>
      </c>
      <c r="G16" s="166">
        <f t="shared" ca="1" si="3"/>
        <v>868.18554006383749</v>
      </c>
      <c r="H16" s="167">
        <f t="shared" si="3"/>
        <v>4.1834538931577736</v>
      </c>
      <c r="I16" s="167">
        <f t="shared" si="3"/>
        <v>3.0120868030735979</v>
      </c>
      <c r="J16" s="168">
        <f t="shared" si="3"/>
        <v>95.794620000000009</v>
      </c>
      <c r="K16" s="168">
        <f t="shared" si="3"/>
        <v>68.972126400000008</v>
      </c>
      <c r="L16" s="169">
        <f t="shared" ca="1" si="3"/>
        <v>940.16975326691102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Châtaignier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Hêtre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Douglas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 rouge d'Amérique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E32" sqref="E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Châtaignier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-2762.0222222222224</v>
      </c>
      <c r="U10" s="178">
        <f>'Données projet'!D9</f>
        <v>0.93719999999999992</v>
      </c>
      <c r="V10" s="177">
        <f>U10*T10</f>
        <v>-2588.5672266666666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sycomore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-2176.4</v>
      </c>
      <c r="U11" s="178">
        <f>'Données projet'!D10</f>
        <v>0.93719999999999992</v>
      </c>
      <c r="V11" s="177">
        <f t="shared" ref="V11" si="0">U11*T11</f>
        <v>-2039.72208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-2622.5</v>
      </c>
      <c r="U12" s="178">
        <f>'Données projet'!D11</f>
        <v>0.85199999999999998</v>
      </c>
      <c r="V12" s="177">
        <f t="shared" ref="V12:V19" si="1">U12*T12</f>
        <v>-2234.37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-3094.1</v>
      </c>
      <c r="U13" s="178">
        <f>'Données projet'!D12</f>
        <v>0.42599999999999999</v>
      </c>
      <c r="V13" s="177">
        <f t="shared" si="1"/>
        <v>-1318.0865999999999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Châtaignier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Hêtre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-2043.6000000000001</v>
      </c>
      <c r="U14" s="178">
        <f>'Données projet'!D13</f>
        <v>0.42599999999999999</v>
      </c>
      <c r="V14" s="177">
        <f t="shared" si="1"/>
        <v>-870.57360000000006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Douglas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-1658</v>
      </c>
      <c r="U15" s="178">
        <f>'Données projet'!D14</f>
        <v>0.42599999999999999</v>
      </c>
      <c r="V15" s="177">
        <f t="shared" si="1"/>
        <v>-706.30799999999999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Chêne rouge d'Amérique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-1828.1000000000004</v>
      </c>
      <c r="U16" s="178">
        <f>'Données projet'!D15</f>
        <v>0.25559999999999999</v>
      </c>
      <c r="V16" s="177">
        <f t="shared" si="1"/>
        <v>-467.26236000000006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((1.39*525)+(1.53*649)+(0.65*1174))/0.9</f>
        <v>2762.0222222222224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-10224.889866666668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26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35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-10224.889866666668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35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35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35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274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sycomore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((0.93*525)+(1.09*649)+(0.65*1174))/0.9</f>
        <v>2176.4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15</v>
      </c>
      <c r="B55" s="181">
        <f>'Données projet'!D63</f>
        <v>32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35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25</v>
      </c>
      <c r="B57" s="181">
        <f>'Données projet'!D65</f>
        <v>35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30</v>
      </c>
      <c r="B58" s="181">
        <f>'Données projet'!D66</f>
        <v>35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35</v>
      </c>
      <c r="B59" s="181">
        <f>'Données projet'!D67</f>
        <v>35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40</v>
      </c>
      <c r="B60" s="181">
        <f>'Données projet'!D68</f>
        <v>35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45</v>
      </c>
      <c r="B61" s="181">
        <f>'Données projet'!D69</f>
        <v>24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50</v>
      </c>
      <c r="B62" s="181">
        <f>'Données projet'!D70</f>
        <v>19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55</v>
      </c>
      <c r="B63" s="181">
        <f>'Données projet'!D71</f>
        <v>16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60</v>
      </c>
      <c r="B64" s="181">
        <f>'Données projet'!D72</f>
        <v>294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((1.4*475)+(1.7*590)+(0.65*1065))/0.9</f>
        <v>2622.5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6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28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28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28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28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28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28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28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28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65</v>
      </c>
      <c r="B94" s="181">
        <f>'Données projet'!D97</f>
        <v>28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70</v>
      </c>
      <c r="B95" s="181">
        <f>'Données projet'!D98</f>
        <v>28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75</v>
      </c>
      <c r="B96" s="181">
        <f>'Données projet'!D99</f>
        <v>28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80</v>
      </c>
      <c r="B97" s="181">
        <f>'Données projet'!D100</f>
        <v>320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((1.52*237)+(1.78*295)+(0.65*542))/0.4</f>
        <v>3094.1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3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25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25</v>
      </c>
      <c r="B118" s="181">
        <f>'Données projet'!D116</f>
        <v>27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31</v>
      </c>
      <c r="B119" s="181">
        <f>'Données projet'!D117</f>
        <v>36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37</v>
      </c>
      <c r="B120" s="181">
        <f>'Données projet'!D118</f>
        <v>36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44</v>
      </c>
      <c r="B121" s="181">
        <f>'Données projet'!D119</f>
        <v>43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52</v>
      </c>
      <c r="B122" s="181">
        <f>'Données projet'!D120</f>
        <v>48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60</v>
      </c>
      <c r="B123" s="181">
        <f>'Données projet'!D121</f>
        <v>47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69</v>
      </c>
      <c r="B124" s="181">
        <f>'Données projet'!D122</f>
        <v>328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Hêtre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((0.82*237)+(0.94*295)+(0.65*532))/0.4</f>
        <v>2043.6000000000001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25</v>
      </c>
      <c r="B148" s="175">
        <f>'Données projet'!D141</f>
        <v>7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28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35</v>
      </c>
      <c r="B150" s="175">
        <f>'Données projet'!D143</f>
        <v>28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40</v>
      </c>
      <c r="B151" s="175">
        <f>'Données projet'!D144</f>
        <v>28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45</v>
      </c>
      <c r="B152" s="175">
        <f>'Données projet'!D145</f>
        <v>28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50</v>
      </c>
      <c r="B153" s="175">
        <f>'Données projet'!D146</f>
        <v>28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55</v>
      </c>
      <c r="B154" s="175">
        <f>'Données projet'!D147</f>
        <v>28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60</v>
      </c>
      <c r="B155" s="175">
        <f>'Données projet'!D148</f>
        <v>28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65</v>
      </c>
      <c r="B156" s="175">
        <f>'Données projet'!D149</f>
        <v>28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70</v>
      </c>
      <c r="B157" s="175">
        <f>'Données projet'!D150</f>
        <v>316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Douglas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((0.55*238)+(0.63*295)+(0.65*533))/0.4</f>
        <v>1658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15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11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25</v>
      </c>
      <c r="B180" s="181">
        <f>'Données projet'!D168</f>
        <v>46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30</v>
      </c>
      <c r="B181" s="181">
        <f>'Données projet'!D169</f>
        <v>67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35</v>
      </c>
      <c r="B182" s="181">
        <f>'Données projet'!D170</f>
        <v>72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40</v>
      </c>
      <c r="B183" s="181">
        <f>'Données projet'!D171</f>
        <v>79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45</v>
      </c>
      <c r="B184" s="181">
        <f>'Données projet'!D172</f>
        <v>82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50</v>
      </c>
      <c r="B185" s="181">
        <f>'Données projet'!D173</f>
        <v>75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55</v>
      </c>
      <c r="B186" s="181">
        <f>'Données projet'!D174</f>
        <v>66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60</v>
      </c>
      <c r="B187" s="181">
        <f>'Données projet'!D175</f>
        <v>723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 rouge d'Amérique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((0.9*138)+(1.24*177)+(0.65*315))/0.3</f>
        <v>1828.1000000000004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25</v>
      </c>
      <c r="B210" s="181">
        <f>'Données projet'!D193</f>
        <v>26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30</v>
      </c>
      <c r="B211" s="181">
        <f>'Données projet'!D194</f>
        <v>35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35</v>
      </c>
      <c r="B212" s="181">
        <f>'Données projet'!D195</f>
        <v>35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40</v>
      </c>
      <c r="B213" s="181">
        <f>'Données projet'!D196</f>
        <v>35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45</v>
      </c>
      <c r="B214" s="181">
        <f>'Données projet'!D197</f>
        <v>35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50</v>
      </c>
      <c r="B215" s="181">
        <f>'Données projet'!D198</f>
        <v>35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55</v>
      </c>
      <c r="B216" s="181">
        <f>'Données projet'!D199</f>
        <v>306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Mme TRAMON Marie</cp:lastModifiedBy>
  <dcterms:created xsi:type="dcterms:W3CDTF">2021-02-01T08:22:39Z</dcterms:created>
  <dcterms:modified xsi:type="dcterms:W3CDTF">2024-03-28T11:12:03Z</dcterms:modified>
</cp:coreProperties>
</file>